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Wawrzynek\Documents\CCSI\BHIT OASAS\"/>
    </mc:Choice>
  </mc:AlternateContent>
  <xr:revisionPtr revIDLastSave="0" documentId="13_ncr:1_{6E13D32D-3F74-41C4-8584-5236DBD3E9C9}" xr6:coauthVersionLast="44" xr6:coauthVersionMax="44" xr10:uidLastSave="{00000000-0000-0000-0000-000000000000}"/>
  <bookViews>
    <workbookView xWindow="-23148" yWindow="-1272" windowWidth="23256" windowHeight="12576" firstSheet="1" activeTab="5" xr2:uid="{4A6E7DD8-9E5C-4CF4-9636-30FFB186535A}"/>
  </bookViews>
  <sheets>
    <sheet name="OPL" sheetId="1" state="hidden" r:id="rId1"/>
    <sheet name="OLP" sheetId="3" r:id="rId2"/>
    <sheet name="CPST" sheetId="4" r:id="rId3"/>
    <sheet name="PRS" sheetId="5" r:id="rId4"/>
    <sheet name="FPSS" sheetId="6" r:id="rId5"/>
    <sheet name="YPSS" sheetId="11" r:id="rId6"/>
    <sheet name="Summary" sheetId="10" r:id="rId7"/>
    <sheet name="OLP vs 822" sheetId="9" r:id="rId8"/>
    <sheet name="Data elements" sheetId="8" r:id="rId9"/>
    <sheet name="simple" sheetId="7" state="hidden" r:id="rId10"/>
  </sheets>
  <definedNames>
    <definedName name="_xlnm.Print_Titles" localSheetId="1">OLP!$1:$2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1" l="1"/>
  <c r="D54" i="11"/>
  <c r="C54" i="11"/>
  <c r="E53" i="11"/>
  <c r="D53" i="11"/>
  <c r="C53" i="11"/>
  <c r="E54" i="6"/>
  <c r="D54" i="6"/>
  <c r="C54" i="6"/>
  <c r="E53" i="6"/>
  <c r="D53" i="6"/>
  <c r="C53" i="6"/>
  <c r="E54" i="5"/>
  <c r="D54" i="5"/>
  <c r="C54" i="5"/>
  <c r="E53" i="5"/>
  <c r="D53" i="5"/>
  <c r="C53" i="5"/>
  <c r="E54" i="4"/>
  <c r="D54" i="4"/>
  <c r="C54" i="4"/>
  <c r="E53" i="4"/>
  <c r="D53" i="4"/>
  <c r="C53" i="4"/>
  <c r="E67" i="3"/>
  <c r="D67" i="3"/>
  <c r="C67" i="3"/>
  <c r="E66" i="3"/>
  <c r="D66" i="3"/>
  <c r="C66" i="3"/>
  <c r="E11" i="11" l="1"/>
  <c r="E11" i="6"/>
  <c r="E11" i="5"/>
  <c r="E11" i="4"/>
  <c r="G16" i="10" l="1"/>
  <c r="E61" i="11" l="1"/>
  <c r="E58" i="11" s="1"/>
  <c r="E64" i="11" s="1"/>
  <c r="E50" i="11" s="1"/>
  <c r="D61" i="11"/>
  <c r="C61" i="11"/>
  <c r="C60" i="11" s="1"/>
  <c r="D59" i="11"/>
  <c r="D65" i="11" s="1"/>
  <c r="D51" i="11" s="1"/>
  <c r="C59" i="11"/>
  <c r="C65" i="11" s="1"/>
  <c r="C51" i="11" s="1"/>
  <c r="D58" i="11"/>
  <c r="D64" i="11" s="1"/>
  <c r="D50" i="11" s="1"/>
  <c r="D57" i="11"/>
  <c r="C57" i="11"/>
  <c r="C45" i="11"/>
  <c r="E44" i="11"/>
  <c r="E45" i="11" s="1"/>
  <c r="D44" i="11"/>
  <c r="D45" i="11" s="1"/>
  <c r="C44" i="11"/>
  <c r="O17" i="11"/>
  <c r="D11" i="11"/>
  <c r="D60" i="11" s="1"/>
  <c r="C11" i="11"/>
  <c r="Q6" i="11"/>
  <c r="K6" i="11"/>
  <c r="L6" i="11" s="1"/>
  <c r="H6" i="11"/>
  <c r="I6" i="11" s="1"/>
  <c r="F17" i="10"/>
  <c r="E17" i="10"/>
  <c r="D17" i="10"/>
  <c r="F16" i="10"/>
  <c r="E16" i="10"/>
  <c r="D16" i="10"/>
  <c r="H16" i="10" s="1"/>
  <c r="C16" i="10"/>
  <c r="D63" i="11" l="1"/>
  <c r="D49" i="11" s="1"/>
  <c r="C63" i="11"/>
  <c r="C49" i="11" s="1"/>
  <c r="C58" i="11"/>
  <c r="C64" i="11" s="1"/>
  <c r="C50" i="11" s="1"/>
  <c r="E57" i="11"/>
  <c r="E63" i="11" s="1"/>
  <c r="R6" i="11"/>
  <c r="G5" i="10" s="1"/>
  <c r="G25" i="10"/>
  <c r="E60" i="11"/>
  <c r="E49" i="11"/>
  <c r="C66" i="11"/>
  <c r="C52" i="11" s="1"/>
  <c r="D66" i="11"/>
  <c r="D52" i="11" s="1"/>
  <c r="O6" i="11"/>
  <c r="N6" i="11" s="1"/>
  <c r="E59" i="11"/>
  <c r="E65" i="11" s="1"/>
  <c r="E51" i="11" s="1"/>
  <c r="G17" i="9"/>
  <c r="J17" i="9" s="1"/>
  <c r="L16" i="11" l="1"/>
  <c r="C67" i="11"/>
  <c r="I16" i="11"/>
  <c r="E66" i="11"/>
  <c r="E52" i="11" s="1"/>
  <c r="L18" i="11"/>
  <c r="L20" i="11" s="1"/>
  <c r="D67" i="11"/>
  <c r="I12" i="11"/>
  <c r="I14" i="11" s="1"/>
  <c r="C46" i="11"/>
  <c r="H4" i="11" s="1"/>
  <c r="C30" i="9"/>
  <c r="C29" i="9"/>
  <c r="C38" i="9" s="1"/>
  <c r="C28" i="9"/>
  <c r="C34" i="9" s="1"/>
  <c r="C27" i="9"/>
  <c r="C26" i="9"/>
  <c r="C33" i="9" s="1"/>
  <c r="I18" i="11" l="1"/>
  <c r="I20" i="11" s="1"/>
  <c r="O16" i="11"/>
  <c r="O18" i="11" s="1"/>
  <c r="O20" i="11" s="1"/>
  <c r="E67" i="11"/>
  <c r="R16" i="11"/>
  <c r="G15" i="10" s="1"/>
  <c r="D46" i="11"/>
  <c r="K4" i="11" s="1"/>
  <c r="L12" i="11"/>
  <c r="E46" i="11"/>
  <c r="Q4" i="11" s="1"/>
  <c r="G23" i="10" s="1"/>
  <c r="R12" i="11"/>
  <c r="I4" i="11"/>
  <c r="H5" i="11"/>
  <c r="I5" i="11" s="1"/>
  <c r="R18" i="11" l="1"/>
  <c r="G11" i="10"/>
  <c r="R20" i="11"/>
  <c r="G19" i="10" s="1"/>
  <c r="G17" i="10"/>
  <c r="R4" i="11"/>
  <c r="G3" i="10" s="1"/>
  <c r="Q5" i="11"/>
  <c r="I8" i="11"/>
  <c r="O12" i="11"/>
  <c r="O14" i="11" s="1"/>
  <c r="L14" i="11"/>
  <c r="I7" i="11"/>
  <c r="L4" i="11"/>
  <c r="K5" i="11"/>
  <c r="L5" i="11" s="1"/>
  <c r="O5" i="11" s="1"/>
  <c r="N5" i="11" s="1"/>
  <c r="C24" i="9"/>
  <c r="C23" i="9"/>
  <c r="C22" i="9"/>
  <c r="C21" i="9"/>
  <c r="C20" i="9"/>
  <c r="C19" i="9"/>
  <c r="C18" i="9"/>
  <c r="C17" i="9"/>
  <c r="C16" i="9"/>
  <c r="C15" i="9"/>
  <c r="C13" i="9"/>
  <c r="C12" i="9"/>
  <c r="C10" i="9"/>
  <c r="C9" i="9"/>
  <c r="C8" i="9"/>
  <c r="C5" i="9"/>
  <c r="C6" i="9" s="1"/>
  <c r="C4" i="9"/>
  <c r="C3" i="9"/>
  <c r="L8" i="11" l="1"/>
  <c r="O8" i="11" s="1"/>
  <c r="R5" i="11"/>
  <c r="G4" i="10" s="1"/>
  <c r="G24" i="10"/>
  <c r="I9" i="11"/>
  <c r="I10" i="11" s="1"/>
  <c r="I22" i="11" s="1"/>
  <c r="L7" i="11"/>
  <c r="O7" i="11" s="1"/>
  <c r="O4" i="11"/>
  <c r="R7" i="11"/>
  <c r="G6" i="10" s="1"/>
  <c r="R8" i="11"/>
  <c r="G7" i="10" s="1"/>
  <c r="C11" i="9"/>
  <c r="C87" i="9"/>
  <c r="C86" i="9"/>
  <c r="C85" i="9"/>
  <c r="C84" i="9"/>
  <c r="C83" i="9"/>
  <c r="C82" i="9"/>
  <c r="C81" i="9"/>
  <c r="C80" i="9"/>
  <c r="C78" i="9"/>
  <c r="C57" i="9"/>
  <c r="C58" i="9" s="1"/>
  <c r="C49" i="9"/>
  <c r="C47" i="9" s="1"/>
  <c r="C53" i="9" s="1"/>
  <c r="C64" i="9" s="1"/>
  <c r="J28" i="9" s="1"/>
  <c r="I6" i="9"/>
  <c r="J6" i="9" s="1"/>
  <c r="L9" i="11" l="1"/>
  <c r="O9" i="11" s="1"/>
  <c r="R9" i="11"/>
  <c r="L10" i="11"/>
  <c r="L22" i="11" s="1"/>
  <c r="O10" i="11"/>
  <c r="O22" i="11" s="1"/>
  <c r="N4" i="11"/>
  <c r="C45" i="9"/>
  <c r="C51" i="9" s="1"/>
  <c r="C79" i="9"/>
  <c r="C46" i="9"/>
  <c r="C52" i="9" s="1"/>
  <c r="C63" i="9" s="1"/>
  <c r="J27" i="9" s="1"/>
  <c r="C72" i="9"/>
  <c r="C48" i="9"/>
  <c r="R10" i="11" l="1"/>
  <c r="G8" i="10"/>
  <c r="C62" i="9"/>
  <c r="J26" i="9" s="1"/>
  <c r="C70" i="9"/>
  <c r="C66" i="9"/>
  <c r="J30" i="9" s="1"/>
  <c r="C74" i="9"/>
  <c r="C71" i="9"/>
  <c r="C67" i="9"/>
  <c r="J31" i="9" s="1"/>
  <c r="C75" i="9"/>
  <c r="C54" i="9"/>
  <c r="C65" i="9" s="1"/>
  <c r="J29" i="9" s="1"/>
  <c r="J32" i="9" l="1"/>
  <c r="R22" i="11"/>
  <c r="G21" i="10" s="1"/>
  <c r="G9" i="10"/>
  <c r="R14" i="11"/>
  <c r="G13" i="10" s="1"/>
  <c r="C73" i="9"/>
  <c r="J16" i="9"/>
  <c r="J18" i="9" s="1"/>
  <c r="C55" i="9"/>
  <c r="C59" i="9" l="1"/>
  <c r="I4" i="9" s="1"/>
  <c r="J12" i="9"/>
  <c r="J20" i="9" l="1"/>
  <c r="J4" i="9"/>
  <c r="I5" i="9"/>
  <c r="J5" i="9" s="1"/>
  <c r="J8" i="9" l="1"/>
  <c r="J7" i="9"/>
  <c r="J9" i="9" l="1"/>
  <c r="J10" i="9" s="1"/>
  <c r="J14" i="9" s="1"/>
  <c r="J22" i="9" l="1"/>
  <c r="D11" i="6" l="1"/>
  <c r="C11" i="6"/>
  <c r="O17" i="6"/>
  <c r="D11" i="5"/>
  <c r="C11" i="5"/>
  <c r="O17" i="5"/>
  <c r="C11" i="4"/>
  <c r="E61" i="6" l="1"/>
  <c r="E57" i="6" s="1"/>
  <c r="D61" i="6"/>
  <c r="D59" i="6" s="1"/>
  <c r="D65" i="6" s="1"/>
  <c r="D51" i="6" s="1"/>
  <c r="C61" i="6"/>
  <c r="C58" i="6" s="1"/>
  <c r="C64" i="6" s="1"/>
  <c r="C50" i="6" s="1"/>
  <c r="D58" i="6"/>
  <c r="D64" i="6" s="1"/>
  <c r="D50" i="6" s="1"/>
  <c r="E44" i="6"/>
  <c r="E45" i="6" s="1"/>
  <c r="D44" i="6"/>
  <c r="D45" i="6" s="1"/>
  <c r="C44" i="6"/>
  <c r="C45" i="6" s="1"/>
  <c r="Q6" i="6"/>
  <c r="R6" i="6" s="1"/>
  <c r="F5" i="10" s="1"/>
  <c r="K6" i="6"/>
  <c r="L6" i="6" s="1"/>
  <c r="H6" i="6"/>
  <c r="I6" i="6" s="1"/>
  <c r="D57" i="6" l="1"/>
  <c r="E58" i="6"/>
  <c r="E64" i="6" s="1"/>
  <c r="E50" i="6" s="1"/>
  <c r="C57" i="6"/>
  <c r="C63" i="6" s="1"/>
  <c r="C49" i="6" s="1"/>
  <c r="D63" i="6"/>
  <c r="E63" i="6"/>
  <c r="E49" i="6" s="1"/>
  <c r="E59" i="6"/>
  <c r="E65" i="6" s="1"/>
  <c r="E51" i="6" s="1"/>
  <c r="E60" i="6"/>
  <c r="O6" i="6"/>
  <c r="N6" i="6" s="1"/>
  <c r="C59" i="6"/>
  <c r="C65" i="6" s="1"/>
  <c r="C51" i="6" s="1"/>
  <c r="D60" i="6"/>
  <c r="D66" i="6" s="1"/>
  <c r="C60" i="6"/>
  <c r="C66" i="6" s="1"/>
  <c r="D49" i="6"/>
  <c r="E61" i="5"/>
  <c r="E59" i="5" s="1"/>
  <c r="E65" i="5" s="1"/>
  <c r="E51" i="5" s="1"/>
  <c r="D61" i="5"/>
  <c r="D58" i="5" s="1"/>
  <c r="D64" i="5" s="1"/>
  <c r="D50" i="5" s="1"/>
  <c r="C61" i="5"/>
  <c r="C58" i="5" s="1"/>
  <c r="E44" i="5"/>
  <c r="E45" i="5" s="1"/>
  <c r="D44" i="5"/>
  <c r="D45" i="5" s="1"/>
  <c r="C44" i="5"/>
  <c r="C45" i="5" s="1"/>
  <c r="Q6" i="5"/>
  <c r="K6" i="5"/>
  <c r="L6" i="5" s="1"/>
  <c r="H6" i="5"/>
  <c r="I6" i="5" s="1"/>
  <c r="C49" i="3"/>
  <c r="R6" i="5" l="1"/>
  <c r="E5" i="10" s="1"/>
  <c r="F25" i="10"/>
  <c r="E25" i="10"/>
  <c r="E66" i="6"/>
  <c r="E52" i="6" s="1"/>
  <c r="D57" i="5"/>
  <c r="D63" i="5" s="1"/>
  <c r="D49" i="5" s="1"/>
  <c r="C60" i="5"/>
  <c r="C57" i="5"/>
  <c r="C63" i="5" s="1"/>
  <c r="C59" i="5"/>
  <c r="C65" i="5" s="1"/>
  <c r="C51" i="5" s="1"/>
  <c r="E58" i="5"/>
  <c r="E64" i="5" s="1"/>
  <c r="E50" i="5" s="1"/>
  <c r="E57" i="5"/>
  <c r="C52" i="6"/>
  <c r="C49" i="5"/>
  <c r="O6" i="5"/>
  <c r="N6" i="5" s="1"/>
  <c r="C64" i="5"/>
  <c r="C50" i="5" s="1"/>
  <c r="D59" i="5"/>
  <c r="D65" i="5" s="1"/>
  <c r="D51" i="5" s="1"/>
  <c r="E60" i="5"/>
  <c r="E66" i="5" s="1"/>
  <c r="D60" i="5"/>
  <c r="D66" i="5" s="1"/>
  <c r="E67" i="6" l="1"/>
  <c r="R16" i="6"/>
  <c r="I16" i="6"/>
  <c r="I18" i="6" s="1"/>
  <c r="I20" i="6" s="1"/>
  <c r="E46" i="6"/>
  <c r="Q4" i="6" s="1"/>
  <c r="Q5" i="6" s="1"/>
  <c r="R5" i="6" s="1"/>
  <c r="F4" i="10" s="1"/>
  <c r="R12" i="6"/>
  <c r="F11" i="10" s="1"/>
  <c r="C66" i="5"/>
  <c r="C52" i="5" s="1"/>
  <c r="E63" i="5"/>
  <c r="E49" i="5" s="1"/>
  <c r="D52" i="6"/>
  <c r="L16" i="6" s="1"/>
  <c r="D67" i="6"/>
  <c r="L12" i="6" s="1"/>
  <c r="C67" i="6"/>
  <c r="I12" i="6" s="1"/>
  <c r="I14" i="6" s="1"/>
  <c r="D52" i="5"/>
  <c r="R18" i="6" l="1"/>
  <c r="F15" i="10"/>
  <c r="L16" i="5"/>
  <c r="L18" i="5" s="1"/>
  <c r="L20" i="5" s="1"/>
  <c r="R20" i="6"/>
  <c r="F19" i="10" s="1"/>
  <c r="R4" i="6"/>
  <c r="O16" i="6"/>
  <c r="L18" i="6"/>
  <c r="L20" i="6" s="1"/>
  <c r="O12" i="6"/>
  <c r="O14" i="6" s="1"/>
  <c r="L14" i="6"/>
  <c r="I16" i="5"/>
  <c r="C67" i="5"/>
  <c r="I12" i="5" s="1"/>
  <c r="I14" i="5" s="1"/>
  <c r="D46" i="6"/>
  <c r="K4" i="6" s="1"/>
  <c r="R8" i="6"/>
  <c r="F7" i="10" s="1"/>
  <c r="C46" i="6"/>
  <c r="H4" i="6" s="1"/>
  <c r="E52" i="5"/>
  <c r="R16" i="5" s="1"/>
  <c r="E15" i="10" s="1"/>
  <c r="E67" i="5"/>
  <c r="D67" i="5"/>
  <c r="R7" i="6" l="1"/>
  <c r="F6" i="10" s="1"/>
  <c r="F3" i="10"/>
  <c r="O18" i="6"/>
  <c r="O20" i="6" s="1"/>
  <c r="C46" i="5"/>
  <c r="H4" i="5" s="1"/>
  <c r="H5" i="5" s="1"/>
  <c r="I5" i="5" s="1"/>
  <c r="R18" i="5"/>
  <c r="I18" i="5"/>
  <c r="I20" i="5" s="1"/>
  <c r="O16" i="5"/>
  <c r="K5" i="6"/>
  <c r="L5" i="6" s="1"/>
  <c r="L4" i="6"/>
  <c r="I4" i="6"/>
  <c r="H5" i="6"/>
  <c r="I5" i="6" s="1"/>
  <c r="I4" i="5"/>
  <c r="D46" i="5"/>
  <c r="K4" i="5" s="1"/>
  <c r="L12" i="5"/>
  <c r="E46" i="5"/>
  <c r="Q4" i="5" s="1"/>
  <c r="R12" i="5"/>
  <c r="R9" i="6" l="1"/>
  <c r="F8" i="10" s="1"/>
  <c r="R20" i="5"/>
  <c r="E19" i="10" s="1"/>
  <c r="E11" i="10"/>
  <c r="E23" i="10"/>
  <c r="F23" i="10"/>
  <c r="O12" i="5"/>
  <c r="O14" i="5" s="1"/>
  <c r="L14" i="5"/>
  <c r="O18" i="5"/>
  <c r="O20" i="5" s="1"/>
  <c r="L8" i="6"/>
  <c r="I8" i="5"/>
  <c r="O5" i="6"/>
  <c r="N5" i="6" s="1"/>
  <c r="O4" i="6"/>
  <c r="L7" i="6"/>
  <c r="I8" i="6"/>
  <c r="I7" i="6"/>
  <c r="I9" i="6" s="1"/>
  <c r="I10" i="6" s="1"/>
  <c r="I22" i="6" s="1"/>
  <c r="R4" i="5"/>
  <c r="E3" i="10" s="1"/>
  <c r="Q5" i="5"/>
  <c r="L4" i="5"/>
  <c r="K5" i="5"/>
  <c r="L5" i="5" s="1"/>
  <c r="O5" i="5" s="1"/>
  <c r="N5" i="5" s="1"/>
  <c r="I7" i="5"/>
  <c r="R10" i="6" l="1"/>
  <c r="R5" i="5"/>
  <c r="E4" i="10" s="1"/>
  <c r="F24" i="10"/>
  <c r="E24" i="10"/>
  <c r="O8" i="6"/>
  <c r="I9" i="5"/>
  <c r="I10" i="5" s="1"/>
  <c r="I22" i="5" s="1"/>
  <c r="L8" i="5"/>
  <c r="O8" i="5" s="1"/>
  <c r="O7" i="6"/>
  <c r="N4" i="6"/>
  <c r="L9" i="6"/>
  <c r="O9" i="6" s="1"/>
  <c r="L7" i="5"/>
  <c r="O7" i="5" s="1"/>
  <c r="O4" i="5"/>
  <c r="R8" i="5"/>
  <c r="E7" i="10" s="1"/>
  <c r="F9" i="10" l="1"/>
  <c r="R14" i="6"/>
  <c r="F13" i="10" s="1"/>
  <c r="R22" i="6"/>
  <c r="F21" i="10" s="1"/>
  <c r="R7" i="5"/>
  <c r="E6" i="10" s="1"/>
  <c r="O10" i="6"/>
  <c r="O22" i="6" s="1"/>
  <c r="L10" i="6"/>
  <c r="L22" i="6" s="1"/>
  <c r="L9" i="5"/>
  <c r="O9" i="5" s="1"/>
  <c r="O10" i="5" s="1"/>
  <c r="O22" i="5" s="1"/>
  <c r="N4" i="5"/>
  <c r="R9" i="5" l="1"/>
  <c r="L10" i="5"/>
  <c r="L22" i="5" s="1"/>
  <c r="R10" i="5" l="1"/>
  <c r="R14" i="5" s="1"/>
  <c r="E13" i="10" s="1"/>
  <c r="E8" i="10"/>
  <c r="E6" i="3"/>
  <c r="D87" i="3"/>
  <c r="D6" i="3"/>
  <c r="C6" i="3"/>
  <c r="E78" i="3"/>
  <c r="D78" i="3"/>
  <c r="C78" i="3"/>
  <c r="H40" i="7"/>
  <c r="H32" i="7"/>
  <c r="J38" i="7"/>
  <c r="J41" i="7" s="1"/>
  <c r="J16" i="7"/>
  <c r="J18" i="7" s="1"/>
  <c r="J19" i="7" s="1"/>
  <c r="J10" i="7"/>
  <c r="J6" i="7"/>
  <c r="J9" i="7" s="1"/>
  <c r="R22" i="5" l="1"/>
  <c r="E21" i="10" s="1"/>
  <c r="E9" i="10"/>
  <c r="D82" i="3"/>
  <c r="E87" i="3"/>
  <c r="E83" i="3"/>
  <c r="E79" i="3"/>
  <c r="C85" i="3"/>
  <c r="C81" i="3"/>
  <c r="D86" i="3"/>
  <c r="C80" i="3"/>
  <c r="D81" i="3"/>
  <c r="E82" i="3"/>
  <c r="C84" i="3"/>
  <c r="D85" i="3"/>
  <c r="E86" i="3"/>
  <c r="C79" i="3"/>
  <c r="D80" i="3"/>
  <c r="E81" i="3"/>
  <c r="C83" i="3"/>
  <c r="D84" i="3"/>
  <c r="E85" i="3"/>
  <c r="C87" i="3"/>
  <c r="D79" i="3"/>
  <c r="E80" i="3"/>
  <c r="C82" i="3"/>
  <c r="D83" i="3"/>
  <c r="E84" i="3"/>
  <c r="C86" i="3"/>
  <c r="J12" i="7"/>
  <c r="J21" i="7"/>
  <c r="J30" i="7"/>
  <c r="J23" i="7"/>
  <c r="J39" i="7"/>
  <c r="A40" i="7"/>
  <c r="A32" i="7"/>
  <c r="C38" i="7"/>
  <c r="C41" i="7" s="1"/>
  <c r="C16" i="7"/>
  <c r="C10" i="7"/>
  <c r="C6" i="7"/>
  <c r="C9" i="7" s="1"/>
  <c r="C12" i="7" s="1"/>
  <c r="E12" i="7" s="1"/>
  <c r="E44" i="4"/>
  <c r="E45" i="4" s="1"/>
  <c r="D44" i="4"/>
  <c r="D45" i="4" s="1"/>
  <c r="C44" i="4"/>
  <c r="C45" i="4" s="1"/>
  <c r="O17" i="4"/>
  <c r="D11" i="4"/>
  <c r="Q6" i="4"/>
  <c r="K6" i="4"/>
  <c r="L6" i="4" s="1"/>
  <c r="H6" i="4"/>
  <c r="I6" i="4" s="1"/>
  <c r="E61" i="4"/>
  <c r="E59" i="4" s="1"/>
  <c r="E65" i="4" s="1"/>
  <c r="D61" i="4"/>
  <c r="C61" i="4"/>
  <c r="C57" i="4" s="1"/>
  <c r="R6" i="4" l="1"/>
  <c r="D5" i="10" s="1"/>
  <c r="D25" i="10"/>
  <c r="E51" i="4"/>
  <c r="J22" i="7"/>
  <c r="J24" i="7" s="1"/>
  <c r="J25" i="7" s="1"/>
  <c r="J31" i="7"/>
  <c r="J33" i="7"/>
  <c r="J40" i="7"/>
  <c r="J42" i="7" s="1"/>
  <c r="J43" i="7" s="1"/>
  <c r="L43" i="7" s="1"/>
  <c r="L12" i="7"/>
  <c r="C39" i="7"/>
  <c r="C40" i="7" s="1"/>
  <c r="C42" i="7" s="1"/>
  <c r="C18" i="7"/>
  <c r="C19" i="7" s="1"/>
  <c r="C30" i="7" s="1"/>
  <c r="O6" i="4"/>
  <c r="N6" i="4" s="1"/>
  <c r="C60" i="4"/>
  <c r="C58" i="4"/>
  <c r="C64" i="4" s="1"/>
  <c r="C50" i="4" s="1"/>
  <c r="C63" i="4"/>
  <c r="D60" i="4"/>
  <c r="D66" i="4" s="1"/>
  <c r="D59" i="4"/>
  <c r="D65" i="4" s="1"/>
  <c r="D51" i="4" s="1"/>
  <c r="D57" i="4"/>
  <c r="E57" i="4"/>
  <c r="E58" i="4"/>
  <c r="E64" i="4" s="1"/>
  <c r="E50" i="4" s="1"/>
  <c r="D58" i="4"/>
  <c r="D64" i="4" s="1"/>
  <c r="D50" i="4" s="1"/>
  <c r="E60" i="4"/>
  <c r="E66" i="4" s="1"/>
  <c r="C59" i="4"/>
  <c r="C65" i="4" s="1"/>
  <c r="C51" i="4" s="1"/>
  <c r="Q6" i="3"/>
  <c r="E57" i="3"/>
  <c r="E58" i="3" s="1"/>
  <c r="E11" i="3"/>
  <c r="E49" i="3"/>
  <c r="E46" i="3" s="1"/>
  <c r="E52" i="3" s="1"/>
  <c r="E63" i="3" s="1"/>
  <c r="G27" i="9" s="1"/>
  <c r="R6" i="3" l="1"/>
  <c r="C25" i="10"/>
  <c r="H25" i="10" s="1"/>
  <c r="F6" i="9"/>
  <c r="C66" i="4"/>
  <c r="C52" i="4" s="1"/>
  <c r="E71" i="3"/>
  <c r="L25" i="7"/>
  <c r="J27" i="7"/>
  <c r="J32" i="7"/>
  <c r="J34" i="7" s="1"/>
  <c r="J35" i="7" s="1"/>
  <c r="L35" i="7" s="1"/>
  <c r="C43" i="7"/>
  <c r="E43" i="7" s="1"/>
  <c r="C21" i="7"/>
  <c r="C22" i="7" s="1"/>
  <c r="C23" i="7"/>
  <c r="D63" i="4"/>
  <c r="E63" i="4"/>
  <c r="C49" i="4"/>
  <c r="E52" i="4"/>
  <c r="D52" i="4"/>
  <c r="E47" i="3"/>
  <c r="E53" i="3" s="1"/>
  <c r="E72" i="3" s="1"/>
  <c r="E48" i="3"/>
  <c r="E45" i="3"/>
  <c r="K6" i="3"/>
  <c r="L6" i="3" s="1"/>
  <c r="D57" i="3"/>
  <c r="D58" i="3" s="1"/>
  <c r="D11" i="3"/>
  <c r="D49" i="3"/>
  <c r="D46" i="3" s="1"/>
  <c r="D52" i="3" s="1"/>
  <c r="D63" i="3" s="1"/>
  <c r="H6" i="3"/>
  <c r="I6" i="3" s="1"/>
  <c r="C5" i="10" l="1"/>
  <c r="H5" i="10" s="1"/>
  <c r="G6" i="9"/>
  <c r="C67" i="4"/>
  <c r="C46" i="4" s="1"/>
  <c r="H4" i="4" s="1"/>
  <c r="E75" i="3"/>
  <c r="E54" i="3"/>
  <c r="E73" i="3" s="1"/>
  <c r="E74" i="3"/>
  <c r="E64" i="3"/>
  <c r="G28" i="9" s="1"/>
  <c r="D71" i="3"/>
  <c r="G30" i="9"/>
  <c r="G31" i="9"/>
  <c r="L45" i="7"/>
  <c r="L47" i="7" s="1"/>
  <c r="O6" i="3"/>
  <c r="N6" i="3" s="1"/>
  <c r="C31" i="7"/>
  <c r="C33" i="7"/>
  <c r="C24" i="7"/>
  <c r="C25" i="7" s="1"/>
  <c r="E49" i="4"/>
  <c r="R16" i="4" s="1"/>
  <c r="D15" i="10" s="1"/>
  <c r="E67" i="4"/>
  <c r="I12" i="4"/>
  <c r="I14" i="4" s="1"/>
  <c r="I16" i="4"/>
  <c r="D49" i="4"/>
  <c r="L16" i="4" s="1"/>
  <c r="D67" i="4"/>
  <c r="E51" i="3"/>
  <c r="E70" i="3" s="1"/>
  <c r="D45" i="3"/>
  <c r="D47" i="3"/>
  <c r="D53" i="3" s="1"/>
  <c r="D72" i="3" s="1"/>
  <c r="D48" i="3"/>
  <c r="C57" i="3"/>
  <c r="C58" i="3" s="1"/>
  <c r="C46" i="3"/>
  <c r="C52" i="3" s="1"/>
  <c r="C63" i="3" s="1"/>
  <c r="C11" i="3"/>
  <c r="P17" i="1"/>
  <c r="P18" i="1" s="1"/>
  <c r="O13" i="1"/>
  <c r="Q13" i="1" s="1"/>
  <c r="Q12" i="1"/>
  <c r="O12" i="1"/>
  <c r="O11" i="1"/>
  <c r="Q11" i="1" s="1"/>
  <c r="I24" i="1"/>
  <c r="C40" i="1"/>
  <c r="A42" i="1"/>
  <c r="A43" i="1" s="1"/>
  <c r="A44" i="1" s="1"/>
  <c r="A45" i="1" s="1"/>
  <c r="A4" i="1"/>
  <c r="A5" i="1"/>
  <c r="A7" i="1"/>
  <c r="A8" i="1" s="1"/>
  <c r="H4" i="1"/>
  <c r="G4" i="1"/>
  <c r="D40" i="1"/>
  <c r="A9" i="1" l="1"/>
  <c r="D75" i="3"/>
  <c r="D54" i="3"/>
  <c r="D73" i="3" s="1"/>
  <c r="D74" i="3"/>
  <c r="E65" i="3"/>
  <c r="G29" i="9" s="1"/>
  <c r="E62" i="3"/>
  <c r="G26" i="9" s="1"/>
  <c r="D64" i="3"/>
  <c r="C71" i="3"/>
  <c r="O17" i="3" s="1"/>
  <c r="C32" i="7"/>
  <c r="C34" i="7" s="1"/>
  <c r="C35" i="7" s="1"/>
  <c r="E35" i="7" s="1"/>
  <c r="C27" i="7"/>
  <c r="E25" i="7"/>
  <c r="D46" i="4"/>
  <c r="K4" i="4" s="1"/>
  <c r="L12" i="4"/>
  <c r="L18" i="4"/>
  <c r="L20" i="4" s="1"/>
  <c r="O16" i="4"/>
  <c r="E46" i="4"/>
  <c r="Q4" i="4" s="1"/>
  <c r="D23" i="10" s="1"/>
  <c r="R12" i="4"/>
  <c r="H5" i="4"/>
  <c r="I5" i="4" s="1"/>
  <c r="I4" i="4"/>
  <c r="I18" i="4"/>
  <c r="I20" i="4" s="1"/>
  <c r="R18" i="4"/>
  <c r="E55" i="3"/>
  <c r="D51" i="3"/>
  <c r="D70" i="3" s="1"/>
  <c r="C48" i="3"/>
  <c r="C45" i="3"/>
  <c r="C47" i="3"/>
  <c r="C53" i="3" s="1"/>
  <c r="C72" i="3" s="1"/>
  <c r="D41" i="1"/>
  <c r="K13" i="1" s="1"/>
  <c r="I12" i="1"/>
  <c r="L4" i="1"/>
  <c r="M4" i="1" s="1"/>
  <c r="J4" i="1"/>
  <c r="J5" i="1" s="1"/>
  <c r="H5" i="1"/>
  <c r="M14" i="1"/>
  <c r="L24" i="1"/>
  <c r="J6" i="1"/>
  <c r="K6" i="1" s="1"/>
  <c r="E21" i="1"/>
  <c r="D21" i="1"/>
  <c r="C21" i="1"/>
  <c r="O14" i="1" s="1"/>
  <c r="Q14" i="1" s="1"/>
  <c r="Q15" i="1" s="1"/>
  <c r="Q18" i="1" s="1"/>
  <c r="G32" i="9" l="1"/>
  <c r="R20" i="4"/>
  <c r="D19" i="10" s="1"/>
  <c r="D11" i="10"/>
  <c r="O12" i="4"/>
  <c r="O14" i="4" s="1"/>
  <c r="L14" i="4"/>
  <c r="C75" i="3"/>
  <c r="C54" i="3"/>
  <c r="C73" i="3" s="1"/>
  <c r="C74" i="3"/>
  <c r="R16" i="3"/>
  <c r="C64" i="3"/>
  <c r="D65" i="3"/>
  <c r="D62" i="3"/>
  <c r="E45" i="7"/>
  <c r="E47" i="7" s="1"/>
  <c r="I8" i="4"/>
  <c r="I7" i="4"/>
  <c r="R4" i="4"/>
  <c r="D3" i="10" s="1"/>
  <c r="Q5" i="4"/>
  <c r="O18" i="4"/>
  <c r="O20" i="4" s="1"/>
  <c r="L4" i="4"/>
  <c r="K5" i="4"/>
  <c r="L5" i="4" s="1"/>
  <c r="O5" i="4" s="1"/>
  <c r="N5" i="4" s="1"/>
  <c r="E59" i="3"/>
  <c r="Q4" i="3" s="1"/>
  <c r="R12" i="3"/>
  <c r="D55" i="3"/>
  <c r="C51" i="3"/>
  <c r="K5" i="1"/>
  <c r="K8" i="1"/>
  <c r="K4" i="1"/>
  <c r="K12" i="1"/>
  <c r="D42" i="1"/>
  <c r="D52" i="1" s="1"/>
  <c r="D47" i="1"/>
  <c r="D44" i="1"/>
  <c r="D54" i="1" s="1"/>
  <c r="D43" i="1"/>
  <c r="C41" i="1"/>
  <c r="I13" i="1" s="1"/>
  <c r="C23" i="10" l="1"/>
  <c r="H23" i="10" s="1"/>
  <c r="F4" i="9"/>
  <c r="R18" i="3"/>
  <c r="C15" i="10"/>
  <c r="H15" i="10" s="1"/>
  <c r="H17" i="10" s="1"/>
  <c r="G16" i="9"/>
  <c r="G18" i="9" s="1"/>
  <c r="C11" i="10"/>
  <c r="H11" i="10" s="1"/>
  <c r="G12" i="9"/>
  <c r="R5" i="4"/>
  <c r="D4" i="10" s="1"/>
  <c r="D24" i="10"/>
  <c r="C70" i="3"/>
  <c r="L16" i="3"/>
  <c r="L18" i="3" s="1"/>
  <c r="C62" i="3"/>
  <c r="C65" i="3"/>
  <c r="I9" i="4"/>
  <c r="I10" i="4" s="1"/>
  <c r="L7" i="4"/>
  <c r="O7" i="4" s="1"/>
  <c r="O4" i="4"/>
  <c r="L8" i="4"/>
  <c r="O8" i="4" s="1"/>
  <c r="R8" i="4"/>
  <c r="D7" i="10" s="1"/>
  <c r="Q5" i="3"/>
  <c r="R4" i="3"/>
  <c r="C55" i="3"/>
  <c r="D59" i="3"/>
  <c r="K4" i="3" s="1"/>
  <c r="L12" i="3"/>
  <c r="K24" i="1"/>
  <c r="K25" i="1" s="1"/>
  <c r="K7" i="1"/>
  <c r="K9" i="1" s="1"/>
  <c r="D48" i="1"/>
  <c r="D58" i="1" s="1"/>
  <c r="D53" i="1"/>
  <c r="D57" i="1"/>
  <c r="D49" i="1"/>
  <c r="D59" i="1" s="1"/>
  <c r="C43" i="1"/>
  <c r="C47" i="1"/>
  <c r="C44" i="1"/>
  <c r="C54" i="1" s="1"/>
  <c r="C42" i="1"/>
  <c r="H6" i="1"/>
  <c r="I6" i="1" s="1"/>
  <c r="H19" i="10" l="1"/>
  <c r="C3" i="10"/>
  <c r="H3" i="10" s="1"/>
  <c r="G4" i="9"/>
  <c r="G20" i="9"/>
  <c r="R5" i="3"/>
  <c r="C24" i="10"/>
  <c r="H24" i="10" s="1"/>
  <c r="F5" i="9"/>
  <c r="R20" i="3"/>
  <c r="C19" i="10" s="1"/>
  <c r="C17" i="10"/>
  <c r="R7" i="4"/>
  <c r="D6" i="10" s="1"/>
  <c r="I12" i="3"/>
  <c r="O12" i="3" s="1"/>
  <c r="C59" i="3"/>
  <c r="H4" i="3" s="1"/>
  <c r="L20" i="3"/>
  <c r="I16" i="3"/>
  <c r="O16" i="3" s="1"/>
  <c r="I22" i="4"/>
  <c r="L9" i="4"/>
  <c r="O9" i="4" s="1"/>
  <c r="O10" i="4" s="1"/>
  <c r="N4" i="4"/>
  <c r="R7" i="3"/>
  <c r="R8" i="3"/>
  <c r="K5" i="3"/>
  <c r="L5" i="3" s="1"/>
  <c r="L4" i="3"/>
  <c r="I4" i="1"/>
  <c r="I8" i="1"/>
  <c r="K10" i="1"/>
  <c r="K21" i="1" s="1"/>
  <c r="D60" i="1"/>
  <c r="K15" i="1" s="1"/>
  <c r="C52" i="1"/>
  <c r="I25" i="1"/>
  <c r="C57" i="1"/>
  <c r="C49" i="1"/>
  <c r="C59" i="1" s="1"/>
  <c r="C53" i="1"/>
  <c r="C48" i="1"/>
  <c r="C58" i="1" s="1"/>
  <c r="I5" i="1"/>
  <c r="C7" i="10" l="1"/>
  <c r="H7" i="10" s="1"/>
  <c r="G8" i="9"/>
  <c r="C6" i="10"/>
  <c r="H6" i="10" s="1"/>
  <c r="G7" i="9"/>
  <c r="C4" i="10"/>
  <c r="H4" i="10" s="1"/>
  <c r="G5" i="9"/>
  <c r="R9" i="4"/>
  <c r="R10" i="4" s="1"/>
  <c r="R22" i="4" s="1"/>
  <c r="D21" i="10" s="1"/>
  <c r="L8" i="3"/>
  <c r="H5" i="3"/>
  <c r="I5" i="3" s="1"/>
  <c r="O5" i="3" s="1"/>
  <c r="N5" i="3" s="1"/>
  <c r="I18" i="3"/>
  <c r="I20" i="3" s="1"/>
  <c r="I4" i="3"/>
  <c r="L10" i="4"/>
  <c r="O22" i="4"/>
  <c r="R9" i="3"/>
  <c r="O18" i="3"/>
  <c r="O20" i="3" s="1"/>
  <c r="L7" i="3"/>
  <c r="K17" i="1"/>
  <c r="K22" i="1"/>
  <c r="C60" i="1"/>
  <c r="I15" i="1" s="1"/>
  <c r="I7" i="1"/>
  <c r="I9" i="1" s="1"/>
  <c r="I10" i="1" s="1"/>
  <c r="I21" i="1" s="1"/>
  <c r="R10" i="3" l="1"/>
  <c r="C9" i="10" s="1"/>
  <c r="C8" i="10"/>
  <c r="G9" i="9"/>
  <c r="G10" i="9" s="1"/>
  <c r="D8" i="10"/>
  <c r="H8" i="10" s="1"/>
  <c r="D9" i="10"/>
  <c r="H9" i="10" s="1"/>
  <c r="R14" i="4"/>
  <c r="D13" i="10" s="1"/>
  <c r="I8" i="3"/>
  <c r="O8" i="3" s="1"/>
  <c r="I7" i="3"/>
  <c r="O7" i="3" s="1"/>
  <c r="R22" i="3"/>
  <c r="C21" i="10" s="1"/>
  <c r="R14" i="3"/>
  <c r="C13" i="10" s="1"/>
  <c r="O4" i="3"/>
  <c r="N4" i="3" s="1"/>
  <c r="L22" i="4"/>
  <c r="L9" i="3"/>
  <c r="L10" i="3" s="1"/>
  <c r="I17" i="1"/>
  <c r="I22" i="1"/>
  <c r="G14" i="9" l="1"/>
  <c r="G22" i="9"/>
  <c r="H13" i="10"/>
  <c r="H21" i="10"/>
  <c r="I9" i="3"/>
  <c r="O9" i="3" s="1"/>
  <c r="O10" i="3" s="1"/>
  <c r="L22" i="3"/>
  <c r="L14" i="3"/>
  <c r="I10" i="3" l="1"/>
  <c r="I14" i="3" s="1"/>
  <c r="O22" i="3"/>
  <c r="O14" i="3"/>
  <c r="I22" i="3" l="1"/>
</calcChain>
</file>

<file path=xl/sharedStrings.xml><?xml version="1.0" encoding="utf-8"?>
<sst xmlns="http://schemas.openxmlformats.org/spreadsheetml/2006/main" count="852" uniqueCount="257">
  <si>
    <t>Number clients served at any time</t>
  </si>
  <si>
    <t>Case Load Size</t>
  </si>
  <si>
    <t>% billable to paid hours</t>
  </si>
  <si>
    <t>Average Group size</t>
  </si>
  <si>
    <t>% of services off site</t>
  </si>
  <si>
    <t>Fringe Benefit %</t>
  </si>
  <si>
    <t>Average operations cost per clinical FTE</t>
  </si>
  <si>
    <t>Work week in hours</t>
  </si>
  <si>
    <t>Average time to off site service in Min</t>
  </si>
  <si>
    <t xml:space="preserve"># Supervisor to 5 clinical staff </t>
  </si>
  <si>
    <t>Average salary per clinical FTE</t>
  </si>
  <si>
    <t>Average salary per clinical supervisor</t>
  </si>
  <si>
    <t>FTE</t>
  </si>
  <si>
    <t>Cost</t>
  </si>
  <si>
    <t>Supervisory Staff</t>
  </si>
  <si>
    <t>Fringe Benefits</t>
  </si>
  <si>
    <t>Front office staff</t>
  </si>
  <si>
    <t>Support Staff</t>
  </si>
  <si>
    <t>Average salary support staff</t>
  </si>
  <si>
    <t>Operating Cost</t>
  </si>
  <si>
    <t>Admin and Overhead</t>
  </si>
  <si>
    <t>Admin and Overhead %</t>
  </si>
  <si>
    <t xml:space="preserve">Operating Cost:  </t>
  </si>
  <si>
    <t>Volume - Hrs service</t>
  </si>
  <si>
    <t>Medicaid participation %</t>
  </si>
  <si>
    <t>% of hours providing evalualtion</t>
  </si>
  <si>
    <t>OLP Licensed Evaluation</t>
  </si>
  <si>
    <t>15 Minutes</t>
  </si>
  <si>
    <t>OLP Crisis</t>
  </si>
  <si>
    <t>OLP Crisis Triage</t>
  </si>
  <si>
    <t>OLP Crisis Complex Care</t>
  </si>
  <si>
    <t>5 Minutes</t>
  </si>
  <si>
    <t>OLP Group</t>
  </si>
  <si>
    <t>Offsite – OLP Individual</t>
  </si>
  <si>
    <t>Offsite - OLP Family</t>
  </si>
  <si>
    <t>Offsite – OLP Group</t>
  </si>
  <si>
    <t>% services individual or family</t>
  </si>
  <si>
    <t>OLP Counseling Individual or Family</t>
  </si>
  <si>
    <t>Average session length</t>
  </si>
  <si>
    <t>0 - 6</t>
  </si>
  <si>
    <t>Months</t>
  </si>
  <si>
    <t>7 - 12</t>
  </si>
  <si>
    <t>Ongoing</t>
  </si>
  <si>
    <t>daily 1 hr max</t>
  </si>
  <si>
    <t>Total Hrs: FTE * wrk wk * prod standard</t>
  </si>
  <si>
    <t>Medicaid billable: total hrs x med part</t>
  </si>
  <si>
    <t>OLP Licensed Evaluation: tot * eval %</t>
  </si>
  <si>
    <t>% of hours providing crisis services</t>
  </si>
  <si>
    <t>OLP Crisis: tot * crisis %</t>
  </si>
  <si>
    <t>OLP Group: tot * group %</t>
  </si>
  <si>
    <t>% Services group</t>
  </si>
  <si>
    <t>Offsite – OLP Individual or Family</t>
  </si>
  <si>
    <t>Revenue</t>
  </si>
  <si>
    <t>Units</t>
  </si>
  <si>
    <t>OLP Crisis: units * rate</t>
  </si>
  <si>
    <t>OLP Group: units * rate * grp size</t>
  </si>
  <si>
    <t>Offsite – Ind/Family: Units * travel time</t>
  </si>
  <si>
    <t>Offsite – OLP Group: units * travel time</t>
  </si>
  <si>
    <t xml:space="preserve">OLP Licensed Evaluation: units * rate </t>
  </si>
  <si>
    <t>Medicaid Service Hr</t>
  </si>
  <si>
    <t xml:space="preserve">Operating Revenue:  </t>
  </si>
  <si>
    <t>Percentage of Year</t>
  </si>
  <si>
    <t>Operating Surplus/(Deficit)</t>
  </si>
  <si>
    <t>Expensed start-up costs</t>
  </si>
  <si>
    <t>Cost per service Hr</t>
  </si>
  <si>
    <t>Revenue per service HR</t>
  </si>
  <si>
    <t>Distinct Client Contacts</t>
  </si>
  <si>
    <t>eval</t>
  </si>
  <si>
    <t>Avg Client Contacts per Mos</t>
  </si>
  <si>
    <t>hrs</t>
  </si>
  <si>
    <t>avg session per month</t>
  </si>
  <si>
    <t>Services</t>
  </si>
  <si>
    <t>Evaluation</t>
  </si>
  <si>
    <t>Crisis</t>
  </si>
  <si>
    <t>Individual or family</t>
  </si>
  <si>
    <t>Group</t>
  </si>
  <si>
    <t>Number of Services</t>
  </si>
  <si>
    <t>Hours per service</t>
  </si>
  <si>
    <t>Total Hours</t>
  </si>
  <si>
    <t>Total hours</t>
  </si>
  <si>
    <t>FTE requirements</t>
  </si>
  <si>
    <t>Direct care</t>
  </si>
  <si>
    <t>Clinical staff per 1 supervisor</t>
  </si>
  <si>
    <t>Cost per hour</t>
  </si>
  <si>
    <t>% of services billed to Medicaid</t>
  </si>
  <si>
    <t>Revenue per hour</t>
  </si>
  <si>
    <t>Surplus/(Deficit)</t>
  </si>
  <si>
    <t>Medicaid Revenue</t>
  </si>
  <si>
    <t>Other revenue</t>
  </si>
  <si>
    <t>Total Revenue</t>
  </si>
  <si>
    <t>Year One</t>
  </si>
  <si>
    <t>CPST Simple</t>
  </si>
  <si>
    <t>Clients</t>
  </si>
  <si>
    <t>Avg Attendance per month</t>
  </si>
  <si>
    <t>Average time per visit in Hrs</t>
  </si>
  <si>
    <t>Total Service Hours</t>
  </si>
  <si>
    <t>Medicaid %</t>
  </si>
  <si>
    <t>Medicaid billable hrs</t>
  </si>
  <si>
    <t>Rate per hour</t>
  </si>
  <si>
    <t>Staff Assumptions</t>
  </si>
  <si>
    <t>Wrk Week</t>
  </si>
  <si>
    <t>Paid hours</t>
  </si>
  <si>
    <t>Billable to paid hours</t>
  </si>
  <si>
    <t>Clinical Hours per FTE</t>
  </si>
  <si>
    <t>Staffing requirements</t>
  </si>
  <si>
    <t>Clinical Staff Cost</t>
  </si>
  <si>
    <t>Clinical Staff Fringe</t>
  </si>
  <si>
    <t>Clinical Staff Operating</t>
  </si>
  <si>
    <t>Clinical Staff A&amp;OH</t>
  </si>
  <si>
    <t>Total Clinical Staff Cost</t>
  </si>
  <si>
    <t>* need time for off-site travel</t>
  </si>
  <si>
    <t>Direct Care Surplus/(Loss)</t>
  </si>
  <si>
    <t>Supervision 1 : 5</t>
  </si>
  <si>
    <t>Supervisor Salary</t>
  </si>
  <si>
    <t>Supervisor Fringe</t>
  </si>
  <si>
    <t>Supervisor operating</t>
  </si>
  <si>
    <t>Supervisor A&amp;OH</t>
  </si>
  <si>
    <t>Total Supervisor Cost</t>
  </si>
  <si>
    <t>Additional Costs Supervisor</t>
  </si>
  <si>
    <t>Additional Costs Suport staff</t>
  </si>
  <si>
    <t>Support staff</t>
  </si>
  <si>
    <t>Support staff salary</t>
  </si>
  <si>
    <t>Support staff fringe</t>
  </si>
  <si>
    <t>Support staff operating</t>
  </si>
  <si>
    <t>Support staff A&amp;OH</t>
  </si>
  <si>
    <t>Total support staff</t>
  </si>
  <si>
    <t>Total all Surplus/(Loss)</t>
  </si>
  <si>
    <t>Total all Expenses</t>
  </si>
  <si>
    <t>15 Min</t>
  </si>
  <si>
    <t>MEDICAID Revenue</t>
  </si>
  <si>
    <t>NON-MEDICAID REVENUE</t>
  </si>
  <si>
    <t>Other revenue / State Aid</t>
  </si>
  <si>
    <t>MEDICAID RATES (15 min)</t>
  </si>
  <si>
    <t>NON-MEDICAID RATES (15 Min - 1/6 of Mcaid Rates)</t>
  </si>
  <si>
    <t>Avg session per client per month</t>
  </si>
  <si>
    <t>Average Time per Service (in minutes)</t>
  </si>
  <si>
    <t>% Services group (calculated - no input)</t>
  </si>
  <si>
    <t>Avg travel time per offsite visit in min</t>
  </si>
  <si>
    <t>Work week in Hours</t>
  </si>
  <si>
    <t>Direct care staff billable to paid hours</t>
  </si>
  <si>
    <t>% of services billed to Non-Medicaid (calculated no input)</t>
  </si>
  <si>
    <t>Service Mix</t>
  </si>
  <si>
    <t>Staffing and Cost Inputs</t>
  </si>
  <si>
    <t>Average Group Size</t>
  </si>
  <si>
    <t>Total Staff hours</t>
  </si>
  <si>
    <t>Average operations cost per FTE</t>
  </si>
  <si>
    <t>CPST Service Professional Group</t>
  </si>
  <si>
    <t>Offsite – CPST Individual</t>
  </si>
  <si>
    <t>Offsite - CPST Family</t>
  </si>
  <si>
    <t>Offsite – CPST Group</t>
  </si>
  <si>
    <t>Calculated Values - No Input required</t>
  </si>
  <si>
    <t>PSR Service Professional</t>
  </si>
  <si>
    <t>PRS Service Professional Group</t>
  </si>
  <si>
    <t>FPSS Service Professional</t>
  </si>
  <si>
    <t>FPSS Service Professional Group</t>
  </si>
  <si>
    <t>Offsite – FPSS/YPSS Individual</t>
  </si>
  <si>
    <t>Offsite – FPSS/YPST Group</t>
  </si>
  <si>
    <t>Community Psychiatric Supports and Treatment</t>
  </si>
  <si>
    <t>Psychosocial Rehabilitation</t>
  </si>
  <si>
    <t>Number of clients receiving service in a month</t>
  </si>
  <si>
    <t>Avg number of session per client per month</t>
  </si>
  <si>
    <t>Average group size</t>
  </si>
  <si>
    <t>Anticipated number of billable clients that will receive at least one service in a month</t>
  </si>
  <si>
    <t>% of services that will be provided to an individual or an individual family</t>
  </si>
  <si>
    <t>% of services that will be provided in group</t>
  </si>
  <si>
    <t>% of services that will be provided off site</t>
  </si>
  <si>
    <t>Average travel time to off-site services (both ways)</t>
  </si>
  <si>
    <t>Number of paid hours per week for regular full time staff</t>
  </si>
  <si>
    <t>Clinical staff per supervisory staff</t>
  </si>
  <si>
    <t>Fringe benefits cost as a % of total salary costs (on CFR divide the total fringe costs by total salary costs)</t>
  </si>
  <si>
    <t>Administration and overhead percentage (on CFR divide A&amp;OH by the sum of Salary, Fringe and OTPS)</t>
  </si>
  <si>
    <t>Average time in minutes for Evaluations for OLP services - ALL OTHER SERVICES N/A</t>
  </si>
  <si>
    <t>Average time in minutes for Crisis visit for OLP services - ALL OTHER SERVICES N/A</t>
  </si>
  <si>
    <t>Average time in minutes for Individual or family services</t>
  </si>
  <si>
    <t>Average time in minutes for each group</t>
  </si>
  <si>
    <t>FTE Front office/support staff</t>
  </si>
  <si>
    <t>0-6 Mos</t>
  </si>
  <si>
    <t>7-12 Mos</t>
  </si>
  <si>
    <t>0 - 6 Months</t>
  </si>
  <si>
    <t>7 - 12 Months</t>
  </si>
  <si>
    <t>0 - 6 months</t>
  </si>
  <si>
    <t>7 - 12 months</t>
  </si>
  <si>
    <t>% of hours providing evaluation</t>
  </si>
  <si>
    <t>Clinical hours available</t>
  </si>
  <si>
    <t>Other Licensed Practitioners</t>
  </si>
  <si>
    <t>Avg travel time per offsite visit in min (round trip)</t>
  </si>
  <si>
    <t>Volume - Hrs. of service</t>
  </si>
  <si>
    <t>CPST Service Professional Individual or Family</t>
  </si>
  <si>
    <t>Average number of services in a month for each client that receives a service</t>
  </si>
  <si>
    <r>
      <t xml:space="preserve">% of hours providing evaluation - </t>
    </r>
    <r>
      <rPr>
        <b/>
        <sz val="11"/>
        <color rgb="FFFF0000"/>
        <rFont val="Calibri"/>
        <family val="2"/>
        <scheme val="minor"/>
      </rPr>
      <t>OLP ONLY</t>
    </r>
  </si>
  <si>
    <t>% of hours providing crisis services In-person Off Site</t>
  </si>
  <si>
    <t>823 OLP</t>
  </si>
  <si>
    <t>Offsite – Ind/Family: Travel</t>
  </si>
  <si>
    <t>Offsite – OLP Group: Travel</t>
  </si>
  <si>
    <t>Title</t>
  </si>
  <si>
    <t>Description</t>
  </si>
  <si>
    <t>Currently set at 100%</t>
  </si>
  <si>
    <t>OLP</t>
  </si>
  <si>
    <t>CPST</t>
  </si>
  <si>
    <t>PRS</t>
  </si>
  <si>
    <t>FPSS</t>
  </si>
  <si>
    <t>Total</t>
  </si>
  <si>
    <t>Direct care FTE</t>
  </si>
  <si>
    <t>Supervisory Staff FTE</t>
  </si>
  <si>
    <t>Support Staff FTE</t>
  </si>
  <si>
    <t>Family Peer Support Services</t>
  </si>
  <si>
    <t>Youth Peer Support Services</t>
  </si>
  <si>
    <t>YPSS</t>
  </si>
  <si>
    <t>C - E 3</t>
  </si>
  <si>
    <t>C - E 4</t>
  </si>
  <si>
    <t>C - E 5</t>
  </si>
  <si>
    <t>C - E 8</t>
  </si>
  <si>
    <t>C - E 9</t>
  </si>
  <si>
    <t>C - E 10</t>
  </si>
  <si>
    <t>Legend</t>
  </si>
  <si>
    <t>Input field</t>
  </si>
  <si>
    <r>
      <t xml:space="preserve">% Services group  - </t>
    </r>
    <r>
      <rPr>
        <sz val="11"/>
        <color rgb="FFFF0000"/>
        <rFont val="Calibri"/>
        <family val="2"/>
        <scheme val="minor"/>
      </rPr>
      <t>NO INPUT Calculated</t>
    </r>
  </si>
  <si>
    <t>C - E 11</t>
  </si>
  <si>
    <t>C - E 30</t>
  </si>
  <si>
    <t>C - E 12</t>
  </si>
  <si>
    <t>C - E 13</t>
  </si>
  <si>
    <t>C - E 15</t>
  </si>
  <si>
    <t>C - E 16</t>
  </si>
  <si>
    <t>C - E 17</t>
  </si>
  <si>
    <t>C - E 18</t>
  </si>
  <si>
    <t>C - E 19</t>
  </si>
  <si>
    <t>C - E 20</t>
  </si>
  <si>
    <t>C - E 21</t>
  </si>
  <si>
    <t>C - E 22</t>
  </si>
  <si>
    <t>C - E 23</t>
  </si>
  <si>
    <t>C - E 24</t>
  </si>
  <si>
    <t>C - E 26</t>
  </si>
  <si>
    <t>C - E 27</t>
  </si>
  <si>
    <t>C - E 28</t>
  </si>
  <si>
    <t>C - E 29</t>
  </si>
  <si>
    <t>I/L/R 17</t>
  </si>
  <si>
    <t>Amount of additional Revenue you estimate that you have available to support the program</t>
  </si>
  <si>
    <t>% of hours in OLP that will be evaluations - OPL ONLY ALL OTHER SERVICES N/A</t>
  </si>
  <si>
    <t>% of hours in OLP that will be crisis services - OPL ONLY ALL OTHER SERVICES N/A</t>
  </si>
  <si>
    <t>What percentage of total paid hours do you expected direct care staff to provide billable services</t>
  </si>
  <si>
    <t>Ratio of direct care staff to supervisory staff (example: one supervisor per 5 full time direct care staff)</t>
  </si>
  <si>
    <t>Number of office or support staff necessary to support this program</t>
  </si>
  <si>
    <t>Average salary cost per direct care staff (on CFR sum salary costs for direct care staff position codes and divide it by total FTE for those codes)</t>
  </si>
  <si>
    <t>Average salary cost per clinical supervisors (on CFR sum salary costs for your supervisor position codes and divide it by the total FTE for those codes)</t>
  </si>
  <si>
    <t>Average salary cost per support staff (on CFR sum total costs for support staff position codes and divide it by the total FTE for those codes)</t>
  </si>
  <si>
    <t>Average operating costs per FTE (on CFR add OTPS, equipment and property and divide it by total FTEs</t>
  </si>
  <si>
    <t>Group  * Maximum 60 minutes</t>
  </si>
  <si>
    <t>Offsite – Ind/Family: hrs * % off site * rate</t>
  </si>
  <si>
    <t>Offsite – Group: hrs * % off site * rate</t>
  </si>
  <si>
    <t>Cell Reference+C25A3:C26</t>
  </si>
  <si>
    <r>
      <t xml:space="preserve">% of hours providing crisis services - </t>
    </r>
    <r>
      <rPr>
        <b/>
        <sz val="11"/>
        <color rgb="FFFF0000"/>
        <rFont val="Calibri"/>
        <family val="2"/>
        <scheme val="minor"/>
      </rPr>
      <t>OLP ONLY</t>
    </r>
  </si>
  <si>
    <r>
      <t xml:space="preserve">Evaluation - </t>
    </r>
    <r>
      <rPr>
        <b/>
        <sz val="11"/>
        <color rgb="FFFF0000"/>
        <rFont val="Calibri"/>
        <family val="2"/>
        <scheme val="minor"/>
      </rPr>
      <t>OLP ONLY</t>
    </r>
  </si>
  <si>
    <r>
      <t xml:space="preserve">Crisis - </t>
    </r>
    <r>
      <rPr>
        <b/>
        <sz val="11"/>
        <color rgb="FFFF0000"/>
        <rFont val="Calibri"/>
        <family val="2"/>
        <scheme val="minor"/>
      </rPr>
      <t>OLP ONLY</t>
    </r>
  </si>
  <si>
    <t>4/1/20 - 3/31/22</t>
  </si>
  <si>
    <t xml:space="preserve">Downstate </t>
  </si>
  <si>
    <t>1/1/20 - 3/31/22</t>
  </si>
  <si>
    <t>7/1/20 - 3/31/22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</si>
</sst>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  <numFmt numFmtId="167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5" borderId="0" xfId="0" applyFill="1"/>
    <xf numFmtId="0" fontId="0" fillId="6" borderId="0" xfId="0" applyFill="1"/>
    <xf numFmtId="0" fontId="4" fillId="0" borderId="0" xfId="0" applyFont="1"/>
    <xf numFmtId="3" fontId="0" fillId="0" borderId="0" xfId="0" applyNumberFormat="1"/>
    <xf numFmtId="4" fontId="0" fillId="0" borderId="0" xfId="0" applyNumberFormat="1"/>
    <xf numFmtId="9" fontId="0" fillId="0" borderId="0" xfId="0" applyNumberFormat="1"/>
    <xf numFmtId="3" fontId="0" fillId="0" borderId="1" xfId="0" applyNumberFormat="1" applyBorder="1"/>
    <xf numFmtId="0" fontId="0" fillId="7" borderId="0" xfId="0" applyFill="1"/>
    <xf numFmtId="0" fontId="0" fillId="7" borderId="2" xfId="0" applyFill="1" applyBorder="1"/>
    <xf numFmtId="0" fontId="0" fillId="5" borderId="0" xfId="0" applyNumberFormat="1" applyFill="1"/>
    <xf numFmtId="9" fontId="0" fillId="5" borderId="0" xfId="0" applyNumberFormat="1" applyFill="1"/>
    <xf numFmtId="3" fontId="0" fillId="5" borderId="0" xfId="0" applyNumberFormat="1" applyFill="1"/>
    <xf numFmtId="164" fontId="0" fillId="0" borderId="2" xfId="4" applyNumberFormat="1" applyFont="1" applyBorder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37" fontId="0" fillId="0" borderId="0" xfId="0" applyNumberFormat="1"/>
    <xf numFmtId="37" fontId="4" fillId="0" borderId="0" xfId="0" applyNumberFormat="1" applyFont="1"/>
    <xf numFmtId="37" fontId="4" fillId="0" borderId="3" xfId="0" applyNumberFormat="1" applyFont="1" applyBorder="1"/>
    <xf numFmtId="37" fontId="5" fillId="0" borderId="0" xfId="0" applyNumberFormat="1" applyFont="1"/>
    <xf numFmtId="9" fontId="0" fillId="0" borderId="0" xfId="6" applyFont="1"/>
    <xf numFmtId="44" fontId="0" fillId="0" borderId="0" xfId="5" applyFont="1"/>
    <xf numFmtId="165" fontId="5" fillId="0" borderId="0" xfId="5" applyNumberFormat="1" applyFont="1"/>
    <xf numFmtId="165" fontId="0" fillId="0" borderId="0" xfId="5" applyNumberFormat="1" applyFont="1"/>
    <xf numFmtId="165" fontId="4" fillId="0" borderId="0" xfId="5" applyNumberFormat="1" applyFont="1"/>
    <xf numFmtId="0" fontId="7" fillId="0" borderId="0" xfId="0" applyFont="1"/>
    <xf numFmtId="2" fontId="0" fillId="5" borderId="0" xfId="0" applyNumberFormat="1" applyFill="1"/>
    <xf numFmtId="166" fontId="5" fillId="0" borderId="0" xfId="0" applyNumberFormat="1" applyFont="1"/>
    <xf numFmtId="9" fontId="0" fillId="5" borderId="0" xfId="6" applyFont="1" applyFill="1"/>
    <xf numFmtId="167" fontId="4" fillId="0" borderId="0" xfId="4" applyNumberFormat="1" applyFont="1"/>
    <xf numFmtId="166" fontId="0" fillId="0" borderId="0" xfId="0" applyNumberFormat="1"/>
    <xf numFmtId="0" fontId="0" fillId="0" borderId="4" xfId="0" applyBorder="1"/>
    <xf numFmtId="44" fontId="0" fillId="5" borderId="0" xfId="5" applyFont="1" applyFill="1"/>
    <xf numFmtId="9" fontId="0" fillId="0" borderId="0" xfId="0" quotePrefix="1" applyNumberFormat="1"/>
    <xf numFmtId="10" fontId="0" fillId="5" borderId="0" xfId="6" applyNumberFormat="1" applyFont="1" applyFill="1"/>
    <xf numFmtId="0" fontId="6" fillId="0" borderId="0" xfId="0" applyFont="1"/>
    <xf numFmtId="9" fontId="6" fillId="0" borderId="0" xfId="6" applyFont="1"/>
    <xf numFmtId="0" fontId="4" fillId="0" borderId="0" xfId="0" applyFont="1" applyAlignment="1">
      <alignment horizontal="center"/>
    </xf>
    <xf numFmtId="0" fontId="8" fillId="0" borderId="0" xfId="0" applyFont="1"/>
    <xf numFmtId="0" fontId="6" fillId="5" borderId="0" xfId="0" applyFont="1" applyFill="1"/>
    <xf numFmtId="3" fontId="0" fillId="7" borderId="0" xfId="0" applyNumberFormat="1" applyFill="1"/>
    <xf numFmtId="0" fontId="4" fillId="0" borderId="0" xfId="0" applyFont="1" applyAlignment="1">
      <alignment horizontal="center" vertical="center"/>
    </xf>
    <xf numFmtId="9" fontId="0" fillId="6" borderId="4" xfId="0" applyNumberFormat="1" applyFill="1" applyBorder="1"/>
    <xf numFmtId="0" fontId="9" fillId="0" borderId="0" xfId="0" applyFont="1" applyAlignment="1">
      <alignment horizontal="center"/>
    </xf>
    <xf numFmtId="0" fontId="8" fillId="7" borderId="0" xfId="0" applyFont="1" applyFill="1"/>
    <xf numFmtId="0" fontId="2" fillId="2" borderId="0" xfId="1"/>
    <xf numFmtId="0" fontId="0" fillId="8" borderId="0" xfId="0" applyFill="1"/>
    <xf numFmtId="1" fontId="0" fillId="5" borderId="0" xfId="0" applyNumberFormat="1" applyFill="1"/>
    <xf numFmtId="3" fontId="0" fillId="0" borderId="0" xfId="6" applyNumberFormat="1" applyFont="1"/>
    <xf numFmtId="3" fontId="8" fillId="7" borderId="0" xfId="0" applyNumberFormat="1" applyFont="1" applyFill="1"/>
    <xf numFmtId="0" fontId="0" fillId="0" borderId="0" xfId="0" quotePrefix="1" applyAlignment="1">
      <alignment horizontal="center"/>
    </xf>
    <xf numFmtId="2" fontId="6" fillId="0" borderId="0" xfId="0" applyNumberFormat="1" applyFont="1"/>
    <xf numFmtId="3" fontId="6" fillId="0" borderId="0" xfId="0" applyNumberFormat="1" applyFont="1"/>
    <xf numFmtId="1" fontId="0" fillId="0" borderId="0" xfId="0" applyNumberFormat="1"/>
    <xf numFmtId="1" fontId="6" fillId="0" borderId="0" xfId="5" applyNumberFormat="1" applyFont="1"/>
    <xf numFmtId="1" fontId="6" fillId="0" borderId="0" xfId="4" applyNumberFormat="1" applyFont="1"/>
    <xf numFmtId="1" fontId="6" fillId="0" borderId="4" xfId="4" applyNumberFormat="1" applyFont="1" applyBorder="1"/>
    <xf numFmtId="0" fontId="2" fillId="2" borderId="0" xfId="1" applyAlignment="1">
      <alignment horizontal="center"/>
    </xf>
    <xf numFmtId="3" fontId="8" fillId="0" borderId="0" xfId="0" applyNumberFormat="1" applyFont="1"/>
    <xf numFmtId="3" fontId="8" fillId="0" borderId="1" xfId="0" applyNumberFormat="1" applyFont="1" applyBorder="1"/>
    <xf numFmtId="38" fontId="0" fillId="0" borderId="0" xfId="0" applyNumberFormat="1"/>
    <xf numFmtId="0" fontId="0" fillId="0" borderId="4" xfId="0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8" fillId="5" borderId="0" xfId="0" applyNumberFormat="1" applyFont="1" applyFill="1"/>
    <xf numFmtId="0" fontId="3" fillId="3" borderId="0" xfId="2"/>
    <xf numFmtId="0" fontId="0" fillId="0" borderId="5" xfId="0" applyBorder="1"/>
    <xf numFmtId="0" fontId="3" fillId="3" borderId="5" xfId="2" applyBorder="1" applyAlignment="1">
      <alignment horizontal="left"/>
    </xf>
    <xf numFmtId="0" fontId="3" fillId="3" borderId="6" xfId="2" applyBorder="1" applyAlignment="1">
      <alignment horizontal="center"/>
    </xf>
    <xf numFmtId="0" fontId="0" fillId="0" borderId="6" xfId="0" applyBorder="1"/>
    <xf numFmtId="0" fontId="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0" fillId="0" borderId="0" xfId="0" applyNumberFormat="1"/>
    <xf numFmtId="43" fontId="0" fillId="0" borderId="0" xfId="0" applyNumberFormat="1"/>
    <xf numFmtId="0" fontId="0" fillId="0" borderId="7" xfId="0" applyBorder="1"/>
    <xf numFmtId="0" fontId="2" fillId="2" borderId="0" xfId="1" applyAlignment="1">
      <alignment horizontal="center"/>
    </xf>
    <xf numFmtId="0" fontId="3" fillId="3" borderId="0" xfId="2" applyAlignment="1">
      <alignment horizontal="center"/>
    </xf>
    <xf numFmtId="0" fontId="1" fillId="4" borderId="0" xfId="3" applyAlignment="1">
      <alignment horizontal="center"/>
    </xf>
    <xf numFmtId="16" fontId="2" fillId="2" borderId="0" xfId="1" quotePrefix="1" applyNumberFormat="1" applyAlignment="1">
      <alignment horizontal="center"/>
    </xf>
    <xf numFmtId="0" fontId="10" fillId="0" borderId="0" xfId="0" applyFont="1" applyAlignment="1">
      <alignment horizontal="center"/>
    </xf>
    <xf numFmtId="9" fontId="4" fillId="0" borderId="0" xfId="0" applyNumberFormat="1" applyFont="1"/>
  </cellXfs>
  <cellStyles count="7">
    <cellStyle name="40% - Accent2" xfId="3" builtinId="35"/>
    <cellStyle name="Comma" xfId="4" builtinId="3"/>
    <cellStyle name="Currency" xfId="5" builtinId="4"/>
    <cellStyle name="Good" xfId="1" builtinId="26"/>
    <cellStyle name="Neutral" xfId="2" builtinId="28"/>
    <cellStyle name="Normal" xfId="0" builtinId="0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F9F8-033D-4018-8AC0-F257E90CDEE8}">
  <dimension ref="A1:R60"/>
  <sheetViews>
    <sheetView workbookViewId="0">
      <selection activeCell="A29" sqref="A29:E37"/>
    </sheetView>
  </sheetViews>
  <sheetFormatPr defaultRowHeight="15" x14ac:dyDescent="0.25"/>
  <cols>
    <col min="1" max="1" width="13.140625" customWidth="1"/>
    <col min="2" max="2" width="36.42578125" customWidth="1"/>
    <col min="3" max="3" width="11.5703125" customWidth="1"/>
    <col min="4" max="4" width="10.140625" customWidth="1"/>
    <col min="5" max="5" width="9.7109375" customWidth="1"/>
    <col min="7" max="7" width="25.85546875" customWidth="1"/>
    <col min="11" max="11" width="9.85546875" customWidth="1"/>
  </cols>
  <sheetData>
    <row r="1" spans="1:18" x14ac:dyDescent="0.25">
      <c r="B1" t="s">
        <v>61</v>
      </c>
      <c r="C1">
        <v>0.5</v>
      </c>
      <c r="D1">
        <v>0.5</v>
      </c>
      <c r="E1">
        <v>1</v>
      </c>
    </row>
    <row r="2" spans="1:18" x14ac:dyDescent="0.25">
      <c r="C2" s="3" t="s">
        <v>39</v>
      </c>
      <c r="D2" s="4" t="s">
        <v>41</v>
      </c>
      <c r="E2" s="3" t="s">
        <v>42</v>
      </c>
      <c r="H2" s="80" t="s">
        <v>39</v>
      </c>
      <c r="I2" s="80"/>
      <c r="J2" s="81" t="s">
        <v>41</v>
      </c>
      <c r="K2" s="81"/>
      <c r="L2" s="82" t="s">
        <v>42</v>
      </c>
      <c r="M2" s="82"/>
    </row>
    <row r="3" spans="1:18" x14ac:dyDescent="0.25">
      <c r="C3" s="3" t="s">
        <v>40</v>
      </c>
      <c r="D3" s="3" t="s">
        <v>40</v>
      </c>
      <c r="H3" s="3" t="s">
        <v>12</v>
      </c>
      <c r="I3" s="3" t="s">
        <v>13</v>
      </c>
      <c r="J3" s="3" t="s">
        <v>12</v>
      </c>
      <c r="K3" s="3" t="s">
        <v>13</v>
      </c>
    </row>
    <row r="4" spans="1:18" x14ac:dyDescent="0.25">
      <c r="A4">
        <f>(C8*52)/12</f>
        <v>162.5</v>
      </c>
      <c r="B4" t="s">
        <v>0</v>
      </c>
      <c r="C4">
        <v>50</v>
      </c>
      <c r="D4">
        <v>75</v>
      </c>
      <c r="E4">
        <v>125</v>
      </c>
      <c r="G4">
        <f>((C4*C5)/0.75)/(((C8*52)/12)*C23)</f>
        <v>1.3675213675213675</v>
      </c>
      <c r="H4">
        <f>ROUND(((C4*C5)/0.75)/(((C8*52)/12)*C23),2)</f>
        <v>1.37</v>
      </c>
      <c r="I4" s="8">
        <f>ROUND((H4*C13)*C1,0)</f>
        <v>28770</v>
      </c>
      <c r="J4">
        <f>ROUND(D4/D6,2)</f>
        <v>1.5</v>
      </c>
      <c r="K4" s="8">
        <f>ROUND((J4*D13)*D1,0)</f>
        <v>31500</v>
      </c>
      <c r="L4">
        <f>ROUND(E4/E6,2)</f>
        <v>1.79</v>
      </c>
      <c r="M4" s="8">
        <f>ROUND((L4*E13)*E1,0)</f>
        <v>75180</v>
      </c>
    </row>
    <row r="5" spans="1:18" x14ac:dyDescent="0.25">
      <c r="A5">
        <f>A4*0.6</f>
        <v>97.5</v>
      </c>
      <c r="B5" t="s">
        <v>70</v>
      </c>
      <c r="C5">
        <v>2</v>
      </c>
      <c r="G5" t="s">
        <v>14</v>
      </c>
      <c r="H5">
        <f>ROUND((H4/5)*C9,2)</f>
        <v>0.27</v>
      </c>
      <c r="I5" s="8">
        <f>ROUND((H5*C14)*C1,0)</f>
        <v>6075</v>
      </c>
      <c r="J5">
        <f>ROUND((J4/5)*D9,2)</f>
        <v>0.3</v>
      </c>
      <c r="K5" s="8">
        <f>ROUND((J5*D14)*D1,0)</f>
        <v>6750</v>
      </c>
    </row>
    <row r="6" spans="1:18" x14ac:dyDescent="0.25">
      <c r="B6" t="s">
        <v>1</v>
      </c>
      <c r="D6">
        <v>50</v>
      </c>
      <c r="E6">
        <v>70</v>
      </c>
      <c r="G6" t="s">
        <v>17</v>
      </c>
      <c r="H6">
        <f>C10</f>
        <v>1.25</v>
      </c>
      <c r="I6" s="8">
        <f>ROUND((C15*H6)*C1,0)</f>
        <v>19375</v>
      </c>
      <c r="J6">
        <f>D10</f>
        <v>1.25</v>
      </c>
      <c r="K6" s="8">
        <f>ROUND((J6*D15)*D1,0)</f>
        <v>19375</v>
      </c>
    </row>
    <row r="7" spans="1:18" x14ac:dyDescent="0.25">
      <c r="A7">
        <f>(C4*C5)</f>
        <v>100</v>
      </c>
      <c r="G7" t="s">
        <v>15</v>
      </c>
      <c r="I7" s="8">
        <f>ROUND(SUM(I4:I6)*C11,0)</f>
        <v>17350</v>
      </c>
      <c r="K7" s="8">
        <f>ROUND(SUM(K4:K6)*D11,0)</f>
        <v>18440</v>
      </c>
    </row>
    <row r="8" spans="1:18" x14ac:dyDescent="0.25">
      <c r="A8">
        <f>A7/0.75</f>
        <v>133.33333333333334</v>
      </c>
      <c r="B8" t="s">
        <v>7</v>
      </c>
      <c r="C8">
        <v>37.5</v>
      </c>
      <c r="D8">
        <v>37.5</v>
      </c>
      <c r="E8">
        <v>37.5</v>
      </c>
      <c r="G8" t="s">
        <v>19</v>
      </c>
      <c r="I8" s="8">
        <f>ROUND(C12*H4*C1,0)</f>
        <v>2398</v>
      </c>
      <c r="K8" s="8">
        <f>ROUND(D12*J4*D1,0)</f>
        <v>2625</v>
      </c>
    </row>
    <row r="9" spans="1:18" x14ac:dyDescent="0.25">
      <c r="A9">
        <f>A8/A5</f>
        <v>1.3675213675213675</v>
      </c>
      <c r="B9" t="s">
        <v>9</v>
      </c>
      <c r="C9" s="1">
        <v>1</v>
      </c>
      <c r="D9" s="1">
        <v>1</v>
      </c>
      <c r="E9" s="1">
        <v>1</v>
      </c>
      <c r="G9" t="s">
        <v>20</v>
      </c>
      <c r="I9" s="8">
        <f>ROUND(SUM(I4:I8)*C16,0)</f>
        <v>11095</v>
      </c>
      <c r="K9" s="8">
        <f>ROUND(SUM(K4:K8)*D16,0)</f>
        <v>11804</v>
      </c>
      <c r="O9">
        <v>100</v>
      </c>
    </row>
    <row r="10" spans="1:18" ht="15.75" thickBot="1" x14ac:dyDescent="0.3">
      <c r="B10" t="s">
        <v>16</v>
      </c>
      <c r="C10" s="1">
        <v>1.25</v>
      </c>
      <c r="D10" s="1">
        <v>1.25</v>
      </c>
      <c r="E10" s="1">
        <v>1.5</v>
      </c>
      <c r="G10" s="2" t="s">
        <v>22</v>
      </c>
      <c r="I10" s="11">
        <f>SUM(I4:I9)</f>
        <v>85063</v>
      </c>
      <c r="K10" s="11">
        <f>SUM(K4:K9)</f>
        <v>90494</v>
      </c>
      <c r="Q10" t="s">
        <v>69</v>
      </c>
    </row>
    <row r="11" spans="1:18" ht="15.75" thickTop="1" x14ac:dyDescent="0.25">
      <c r="B11" t="s">
        <v>5</v>
      </c>
      <c r="C11" s="10">
        <v>0.32</v>
      </c>
      <c r="D11" s="10">
        <v>0.32</v>
      </c>
      <c r="E11" s="10">
        <v>0.32</v>
      </c>
      <c r="I11" s="8"/>
      <c r="O11">
        <f>O9*C18</f>
        <v>20</v>
      </c>
      <c r="P11" t="s">
        <v>67</v>
      </c>
      <c r="Q11">
        <f>O11*1</f>
        <v>20</v>
      </c>
      <c r="R11" t="s">
        <v>25</v>
      </c>
    </row>
    <row r="12" spans="1:18" x14ac:dyDescent="0.25">
      <c r="B12" t="s">
        <v>6</v>
      </c>
      <c r="C12" s="8">
        <v>3500</v>
      </c>
      <c r="D12" s="8">
        <v>3500</v>
      </c>
      <c r="E12" s="8">
        <v>3500</v>
      </c>
      <c r="G12" t="s">
        <v>23</v>
      </c>
      <c r="I12" s="8">
        <f>C40</f>
        <v>450</v>
      </c>
      <c r="K12" s="8">
        <f>D40</f>
        <v>878</v>
      </c>
      <c r="O12">
        <f>O9*0.05</f>
        <v>5</v>
      </c>
      <c r="Q12">
        <f>O12*1.5</f>
        <v>7.5</v>
      </c>
      <c r="R12" t="s">
        <v>47</v>
      </c>
    </row>
    <row r="13" spans="1:18" x14ac:dyDescent="0.25">
      <c r="B13" t="s">
        <v>10</v>
      </c>
      <c r="C13" s="8">
        <v>42000</v>
      </c>
      <c r="D13" s="8">
        <v>42000</v>
      </c>
      <c r="E13" s="8">
        <v>42000</v>
      </c>
      <c r="G13" t="s">
        <v>59</v>
      </c>
      <c r="I13" s="8">
        <f>C41</f>
        <v>338</v>
      </c>
      <c r="K13" s="8">
        <f>D41</f>
        <v>659</v>
      </c>
      <c r="M13">
        <v>1.5</v>
      </c>
      <c r="O13">
        <f>O9*C20</f>
        <v>70</v>
      </c>
      <c r="Q13">
        <f>O13*0.75</f>
        <v>52.5</v>
      </c>
      <c r="R13" t="s">
        <v>36</v>
      </c>
    </row>
    <row r="14" spans="1:18" x14ac:dyDescent="0.25">
      <c r="B14" t="s">
        <v>11</v>
      </c>
      <c r="C14" s="8">
        <v>45000</v>
      </c>
      <c r="D14" s="8">
        <v>45000</v>
      </c>
      <c r="E14" s="8">
        <v>45000</v>
      </c>
      <c r="I14" s="8"/>
      <c r="K14" s="8"/>
      <c r="M14">
        <f>(M13*37.5*26)*0.5</f>
        <v>731.25</v>
      </c>
      <c r="O14">
        <f>O9*C21</f>
        <v>5.0000000000000044</v>
      </c>
      <c r="Q14">
        <f>O14/3*1</f>
        <v>1.6666666666666681</v>
      </c>
      <c r="R14" t="s">
        <v>50</v>
      </c>
    </row>
    <row r="15" spans="1:18" x14ac:dyDescent="0.25">
      <c r="B15" t="s">
        <v>18</v>
      </c>
      <c r="C15" s="8">
        <v>31000</v>
      </c>
      <c r="D15" s="8">
        <v>31000</v>
      </c>
      <c r="E15" s="8">
        <v>31000</v>
      </c>
      <c r="G15" s="2" t="s">
        <v>60</v>
      </c>
      <c r="I15" s="8">
        <f>C60</f>
        <v>67532</v>
      </c>
      <c r="K15" s="8">
        <f>D60</f>
        <v>117367</v>
      </c>
      <c r="Q15">
        <f>SUM(Q11:Q14)</f>
        <v>81.666666666666671</v>
      </c>
    </row>
    <row r="16" spans="1:18" x14ac:dyDescent="0.25">
      <c r="B16" t="s">
        <v>21</v>
      </c>
      <c r="C16" s="1">
        <v>0.15</v>
      </c>
      <c r="D16" s="1">
        <v>0.15</v>
      </c>
      <c r="E16" s="1">
        <v>0.15</v>
      </c>
      <c r="I16" s="8"/>
      <c r="K16" s="8"/>
    </row>
    <row r="17" spans="1:17" x14ac:dyDescent="0.25">
      <c r="G17" t="s">
        <v>62</v>
      </c>
      <c r="I17" s="8">
        <f>I15-I10</f>
        <v>-17531</v>
      </c>
      <c r="K17" s="8">
        <f>K15-K10</f>
        <v>26873</v>
      </c>
      <c r="P17">
        <f>(37.5*52)/12</f>
        <v>162.5</v>
      </c>
    </row>
    <row r="18" spans="1:17" x14ac:dyDescent="0.25">
      <c r="B18" t="s">
        <v>25</v>
      </c>
      <c r="C18" s="5">
        <v>0.2</v>
      </c>
      <c r="D18" s="5">
        <v>0.15</v>
      </c>
      <c r="E18" s="5">
        <v>0.1</v>
      </c>
      <c r="I18" s="8"/>
      <c r="K18" s="8"/>
      <c r="P18">
        <f>P17*0.6</f>
        <v>97.5</v>
      </c>
      <c r="Q18">
        <f>Q15/P18</f>
        <v>0.83760683760683763</v>
      </c>
    </row>
    <row r="19" spans="1:17" x14ac:dyDescent="0.25">
      <c r="B19" t="s">
        <v>47</v>
      </c>
      <c r="C19" s="5">
        <v>0.05</v>
      </c>
      <c r="D19" s="5">
        <v>0.05</v>
      </c>
      <c r="E19" s="5">
        <v>0.05</v>
      </c>
      <c r="G19" t="s">
        <v>63</v>
      </c>
      <c r="I19" s="8"/>
      <c r="K19" s="8"/>
    </row>
    <row r="20" spans="1:17" x14ac:dyDescent="0.25">
      <c r="B20" t="s">
        <v>36</v>
      </c>
      <c r="C20" s="5">
        <v>0.7</v>
      </c>
      <c r="D20" s="5">
        <v>0.7</v>
      </c>
      <c r="E20" s="5">
        <v>0.7</v>
      </c>
    </row>
    <row r="21" spans="1:17" x14ac:dyDescent="0.25">
      <c r="B21" t="s">
        <v>50</v>
      </c>
      <c r="C21" s="6">
        <f>1-C18-C19-C20</f>
        <v>5.0000000000000044E-2</v>
      </c>
      <c r="D21" s="6">
        <f t="shared" ref="D21:E21" si="0">1-D18-D19-D20</f>
        <v>9.9999999999999978E-2</v>
      </c>
      <c r="E21" s="6">
        <f t="shared" si="0"/>
        <v>0.15000000000000002</v>
      </c>
      <c r="G21" t="s">
        <v>64</v>
      </c>
      <c r="I21" s="9">
        <f>I10/I12</f>
        <v>189.0288888888889</v>
      </c>
      <c r="K21" s="9">
        <f>K10/K12</f>
        <v>103.06833712984054</v>
      </c>
    </row>
    <row r="22" spans="1:17" x14ac:dyDescent="0.25">
      <c r="B22" t="s">
        <v>24</v>
      </c>
      <c r="C22" s="1">
        <v>0.75</v>
      </c>
      <c r="D22" s="1">
        <v>0.75</v>
      </c>
      <c r="E22" s="1">
        <v>0.75</v>
      </c>
      <c r="G22" t="s">
        <v>65</v>
      </c>
      <c r="I22" s="9">
        <f>I15/I12</f>
        <v>150.07111111111112</v>
      </c>
      <c r="K22" s="9">
        <f>K15/K12</f>
        <v>133.6753986332574</v>
      </c>
    </row>
    <row r="23" spans="1:17" x14ac:dyDescent="0.25">
      <c r="B23" t="s">
        <v>2</v>
      </c>
      <c r="C23">
        <v>0.6</v>
      </c>
      <c r="D23">
        <v>0.6</v>
      </c>
      <c r="E23">
        <v>0.6</v>
      </c>
    </row>
    <row r="24" spans="1:17" x14ac:dyDescent="0.25">
      <c r="A24" t="s">
        <v>43</v>
      </c>
      <c r="B24" t="s">
        <v>3</v>
      </c>
      <c r="C24">
        <v>3</v>
      </c>
      <c r="D24">
        <v>3</v>
      </c>
      <c r="E24">
        <v>3</v>
      </c>
      <c r="G24" t="s">
        <v>66</v>
      </c>
      <c r="I24">
        <f>C4*C5*6</f>
        <v>600</v>
      </c>
      <c r="K24">
        <f>ROUND((D42*(60/D26))+(D43*(60/D26)+(D44*(60/D26))+(D47*(60/D26)*3)),0)</f>
        <v>1582</v>
      </c>
      <c r="L24">
        <f>150*6</f>
        <v>900</v>
      </c>
    </row>
    <row r="25" spans="1:17" x14ac:dyDescent="0.25">
      <c r="B25" t="s">
        <v>4</v>
      </c>
      <c r="C25">
        <v>0.1</v>
      </c>
      <c r="D25">
        <v>0.15</v>
      </c>
      <c r="E25">
        <v>0.25</v>
      </c>
      <c r="G25" t="s">
        <v>68</v>
      </c>
      <c r="I25">
        <f>ROUND((I24/C4)/6,2)</f>
        <v>2</v>
      </c>
      <c r="K25">
        <f>ROUND((K24/D4)/6,2)</f>
        <v>3.52</v>
      </c>
    </row>
    <row r="26" spans="1:17" x14ac:dyDescent="0.25">
      <c r="B26" t="s">
        <v>8</v>
      </c>
      <c r="C26">
        <v>45</v>
      </c>
      <c r="D26">
        <v>30</v>
      </c>
      <c r="E26">
        <v>30</v>
      </c>
    </row>
    <row r="27" spans="1:17" x14ac:dyDescent="0.25">
      <c r="B27" t="s">
        <v>38</v>
      </c>
      <c r="C27">
        <v>45</v>
      </c>
      <c r="D27">
        <v>45</v>
      </c>
      <c r="E27">
        <v>45</v>
      </c>
    </row>
    <row r="29" spans="1:17" x14ac:dyDescent="0.25">
      <c r="A29" t="s">
        <v>27</v>
      </c>
      <c r="B29" t="s">
        <v>26</v>
      </c>
      <c r="C29" s="1">
        <v>57.72</v>
      </c>
      <c r="D29">
        <v>51.25</v>
      </c>
      <c r="E29">
        <v>46.17</v>
      </c>
    </row>
    <row r="30" spans="1:17" x14ac:dyDescent="0.25">
      <c r="A30" t="s">
        <v>27</v>
      </c>
      <c r="B30" t="s">
        <v>37</v>
      </c>
      <c r="C30" s="1">
        <v>44.19</v>
      </c>
      <c r="D30">
        <v>39.24</v>
      </c>
      <c r="E30">
        <v>35.35</v>
      </c>
    </row>
    <row r="31" spans="1:17" x14ac:dyDescent="0.25">
      <c r="A31" t="s">
        <v>27</v>
      </c>
      <c r="B31" t="s">
        <v>28</v>
      </c>
      <c r="C31" s="1">
        <v>69.430000000000007</v>
      </c>
      <c r="D31">
        <v>61.66</v>
      </c>
      <c r="E31">
        <v>55.55</v>
      </c>
    </row>
    <row r="32" spans="1:17" x14ac:dyDescent="0.25">
      <c r="A32" t="s">
        <v>27</v>
      </c>
      <c r="B32" t="s">
        <v>29</v>
      </c>
      <c r="C32" s="1">
        <v>48.6</v>
      </c>
      <c r="D32">
        <v>43.16</v>
      </c>
      <c r="E32">
        <v>38.880000000000003</v>
      </c>
    </row>
    <row r="33" spans="1:5" x14ac:dyDescent="0.25">
      <c r="A33" t="s">
        <v>31</v>
      </c>
      <c r="B33" t="s">
        <v>30</v>
      </c>
      <c r="C33" s="1">
        <v>16.23</v>
      </c>
      <c r="D33">
        <v>14.41</v>
      </c>
      <c r="E33">
        <v>12.98</v>
      </c>
    </row>
    <row r="34" spans="1:5" x14ac:dyDescent="0.25">
      <c r="A34" t="s">
        <v>27</v>
      </c>
      <c r="B34" t="s">
        <v>32</v>
      </c>
      <c r="C34" s="1">
        <v>21.36</v>
      </c>
      <c r="D34">
        <v>18.97</v>
      </c>
      <c r="E34">
        <v>17.09</v>
      </c>
    </row>
    <row r="35" spans="1:5" x14ac:dyDescent="0.25">
      <c r="A35" t="s">
        <v>27</v>
      </c>
      <c r="B35" t="s">
        <v>33</v>
      </c>
      <c r="C35" s="1">
        <v>11.05</v>
      </c>
      <c r="D35">
        <v>9.81</v>
      </c>
      <c r="E35">
        <v>8.84</v>
      </c>
    </row>
    <row r="36" spans="1:5" x14ac:dyDescent="0.25">
      <c r="A36" t="s">
        <v>27</v>
      </c>
      <c r="B36" t="s">
        <v>34</v>
      </c>
      <c r="C36" s="1">
        <v>11.05</v>
      </c>
      <c r="D36">
        <v>9.81</v>
      </c>
      <c r="E36">
        <v>8.84</v>
      </c>
    </row>
    <row r="37" spans="1:5" x14ac:dyDescent="0.25">
      <c r="A37" t="s">
        <v>27</v>
      </c>
      <c r="B37" t="s">
        <v>35</v>
      </c>
      <c r="C37" s="1">
        <v>5.34</v>
      </c>
      <c r="D37">
        <v>4.74</v>
      </c>
      <c r="E37">
        <v>4.2699999999999996</v>
      </c>
    </row>
    <row r="39" spans="1:5" x14ac:dyDescent="0.25">
      <c r="B39" s="7" t="s">
        <v>53</v>
      </c>
    </row>
    <row r="40" spans="1:5" x14ac:dyDescent="0.25">
      <c r="A40">
        <v>50</v>
      </c>
      <c r="B40" t="s">
        <v>44</v>
      </c>
      <c r="C40">
        <f>(((C4*C5)*45)/60)*6</f>
        <v>450</v>
      </c>
      <c r="D40">
        <f>ROUND((((D4/D6)*(D8*52)*D23)*D1),0)</f>
        <v>878</v>
      </c>
    </row>
    <row r="41" spans="1:5" x14ac:dyDescent="0.25">
      <c r="A41">
        <v>2</v>
      </c>
      <c r="B41" t="s">
        <v>45</v>
      </c>
      <c r="C41">
        <f>ROUND(C40*C22,0)</f>
        <v>338</v>
      </c>
      <c r="D41">
        <f>ROUND(D40*D22,0)</f>
        <v>659</v>
      </c>
    </row>
    <row r="42" spans="1:5" x14ac:dyDescent="0.25">
      <c r="A42">
        <f>A40*A41</f>
        <v>100</v>
      </c>
      <c r="B42" t="s">
        <v>46</v>
      </c>
      <c r="C42">
        <f>ROUND(C41*C18,0)</f>
        <v>68</v>
      </c>
      <c r="D42">
        <f>ROUND(D41*D18,0)</f>
        <v>99</v>
      </c>
    </row>
    <row r="43" spans="1:5" x14ac:dyDescent="0.25">
      <c r="A43">
        <f>A42*45</f>
        <v>4500</v>
      </c>
      <c r="B43" t="s">
        <v>37</v>
      </c>
      <c r="C43">
        <f>ROUND(C41*C20,0)</f>
        <v>237</v>
      </c>
      <c r="D43">
        <f>ROUND(D41*D20,0)</f>
        <v>461</v>
      </c>
    </row>
    <row r="44" spans="1:5" x14ac:dyDescent="0.25">
      <c r="A44">
        <f>A43/60</f>
        <v>75</v>
      </c>
      <c r="B44" t="s">
        <v>48</v>
      </c>
      <c r="C44">
        <f>ROUND(C41*C19,0)</f>
        <v>17</v>
      </c>
      <c r="D44">
        <f>ROUND(D41*D19,0)</f>
        <v>33</v>
      </c>
    </row>
    <row r="45" spans="1:5" x14ac:dyDescent="0.25">
      <c r="A45">
        <f>A44*6</f>
        <v>450</v>
      </c>
      <c r="B45" t="s">
        <v>29</v>
      </c>
    </row>
    <row r="46" spans="1:5" x14ac:dyDescent="0.25">
      <c r="B46" t="s">
        <v>30</v>
      </c>
    </row>
    <row r="47" spans="1:5" x14ac:dyDescent="0.25">
      <c r="B47" t="s">
        <v>49</v>
      </c>
      <c r="C47">
        <f>ROUND(C41*C21,0)</f>
        <v>17</v>
      </c>
      <c r="D47">
        <f>ROUND(D41*D21,0)</f>
        <v>66</v>
      </c>
    </row>
    <row r="48" spans="1:5" x14ac:dyDescent="0.25">
      <c r="B48" t="s">
        <v>51</v>
      </c>
      <c r="C48">
        <f>ROUND(C43*C25,0)</f>
        <v>24</v>
      </c>
      <c r="D48">
        <f>ROUND(D43*D25,0)</f>
        <v>69</v>
      </c>
    </row>
    <row r="49" spans="2:4" x14ac:dyDescent="0.25">
      <c r="B49" t="s">
        <v>35</v>
      </c>
      <c r="C49">
        <f>ROUND(C47*C25,0)</f>
        <v>2</v>
      </c>
      <c r="D49">
        <f>ROUND(D47*D25,0)</f>
        <v>10</v>
      </c>
    </row>
    <row r="51" spans="2:4" x14ac:dyDescent="0.25">
      <c r="B51" s="7" t="s">
        <v>52</v>
      </c>
    </row>
    <row r="52" spans="2:4" x14ac:dyDescent="0.25">
      <c r="B52" t="s">
        <v>58</v>
      </c>
      <c r="C52">
        <f t="shared" ref="C52:D54" si="1">ROUND(C42*C29*4,0)</f>
        <v>15700</v>
      </c>
      <c r="D52">
        <f t="shared" si="1"/>
        <v>20295</v>
      </c>
    </row>
    <row r="53" spans="2:4" x14ac:dyDescent="0.25">
      <c r="B53" t="s">
        <v>37</v>
      </c>
      <c r="C53">
        <f t="shared" si="1"/>
        <v>41892</v>
      </c>
      <c r="D53">
        <f t="shared" si="1"/>
        <v>72359</v>
      </c>
    </row>
    <row r="54" spans="2:4" x14ac:dyDescent="0.25">
      <c r="B54" t="s">
        <v>54</v>
      </c>
      <c r="C54">
        <f t="shared" si="1"/>
        <v>4721</v>
      </c>
      <c r="D54">
        <f t="shared" si="1"/>
        <v>8139</v>
      </c>
    </row>
    <row r="55" spans="2:4" x14ac:dyDescent="0.25">
      <c r="B55" t="s">
        <v>29</v>
      </c>
    </row>
    <row r="56" spans="2:4" x14ac:dyDescent="0.25">
      <c r="B56" t="s">
        <v>30</v>
      </c>
    </row>
    <row r="57" spans="2:4" x14ac:dyDescent="0.25">
      <c r="B57" t="s">
        <v>55</v>
      </c>
      <c r="C57">
        <f>ROUND((C47*C34*C24)*4,0)</f>
        <v>4357</v>
      </c>
      <c r="D57">
        <f>ROUND((D47*D34*D24)*4,0)</f>
        <v>15024</v>
      </c>
    </row>
    <row r="58" spans="2:4" x14ac:dyDescent="0.25">
      <c r="B58" t="s">
        <v>56</v>
      </c>
      <c r="C58">
        <f>ROUND(C48*C35*(C$26/15),0)</f>
        <v>796</v>
      </c>
      <c r="D58">
        <f>ROUND(D48*D35*(D$26/15),0)</f>
        <v>1354</v>
      </c>
    </row>
    <row r="59" spans="2:4" x14ac:dyDescent="0.25">
      <c r="B59" t="s">
        <v>57</v>
      </c>
      <c r="C59">
        <f>ROUND(C49*C36*(C$26/15),0)</f>
        <v>66</v>
      </c>
      <c r="D59">
        <f>ROUND(D49*D36*(D$26/15),0)</f>
        <v>196</v>
      </c>
    </row>
    <row r="60" spans="2:4" x14ac:dyDescent="0.25">
      <c r="C60">
        <f>SUM(C52:C59)</f>
        <v>67532</v>
      </c>
      <c r="D60">
        <f>SUM(D52:D59)</f>
        <v>117367</v>
      </c>
    </row>
  </sheetData>
  <mergeCells count="3">
    <mergeCell ref="H2:I2"/>
    <mergeCell ref="J2:K2"/>
    <mergeCell ref="L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8F70-E312-4843-B4A1-D0E1CEEB52DD}">
  <dimension ref="A1:L47"/>
  <sheetViews>
    <sheetView workbookViewId="0">
      <selection activeCell="H10" sqref="H10"/>
    </sheetView>
  </sheetViews>
  <sheetFormatPr defaultRowHeight="15" x14ac:dyDescent="0.25"/>
  <cols>
    <col min="2" max="2" width="29.42578125" customWidth="1"/>
    <col min="9" max="9" width="29.42578125" customWidth="1"/>
    <col min="10" max="10" width="11.42578125" bestFit="1" customWidth="1"/>
    <col min="12" max="12" width="11.42578125" bestFit="1" customWidth="1"/>
  </cols>
  <sheetData>
    <row r="1" spans="1:12" x14ac:dyDescent="0.25">
      <c r="B1" t="s">
        <v>91</v>
      </c>
      <c r="I1" t="s">
        <v>91</v>
      </c>
    </row>
    <row r="3" spans="1:12" x14ac:dyDescent="0.25">
      <c r="B3" t="s">
        <v>92</v>
      </c>
      <c r="C3">
        <v>25</v>
      </c>
      <c r="I3" t="s">
        <v>92</v>
      </c>
      <c r="J3">
        <v>25</v>
      </c>
    </row>
    <row r="4" spans="1:12" x14ac:dyDescent="0.25">
      <c r="B4" t="s">
        <v>93</v>
      </c>
      <c r="C4">
        <v>2</v>
      </c>
      <c r="I4" t="s">
        <v>93</v>
      </c>
      <c r="J4">
        <v>2</v>
      </c>
    </row>
    <row r="5" spans="1:12" x14ac:dyDescent="0.25">
      <c r="B5" t="s">
        <v>94</v>
      </c>
      <c r="C5">
        <v>1</v>
      </c>
      <c r="I5" t="s">
        <v>94</v>
      </c>
      <c r="J5">
        <v>1</v>
      </c>
    </row>
    <row r="6" spans="1:12" x14ac:dyDescent="0.25">
      <c r="B6" t="s">
        <v>95</v>
      </c>
      <c r="C6" s="18">
        <f>(C3*C4*C5)*12</f>
        <v>600</v>
      </c>
      <c r="I6" t="s">
        <v>95</v>
      </c>
      <c r="J6" s="18">
        <f>(J3*J4*J5)*12</f>
        <v>600</v>
      </c>
    </row>
    <row r="8" spans="1:12" x14ac:dyDescent="0.25">
      <c r="B8" t="s">
        <v>96</v>
      </c>
      <c r="C8">
        <v>0.7</v>
      </c>
      <c r="I8" t="s">
        <v>96</v>
      </c>
      <c r="J8" s="25">
        <v>0.7</v>
      </c>
    </row>
    <row r="9" spans="1:12" x14ac:dyDescent="0.25">
      <c r="B9" t="s">
        <v>97</v>
      </c>
      <c r="C9">
        <f>ROUND(C8*C6,0)</f>
        <v>420</v>
      </c>
      <c r="H9" t="s">
        <v>128</v>
      </c>
      <c r="I9" t="s">
        <v>97</v>
      </c>
      <c r="J9">
        <f>ROUND(J8*J6,0)</f>
        <v>420</v>
      </c>
    </row>
    <row r="10" spans="1:12" x14ac:dyDescent="0.25">
      <c r="A10" s="5">
        <v>22.43</v>
      </c>
      <c r="B10" t="s">
        <v>98</v>
      </c>
      <c r="C10">
        <f>A10*4</f>
        <v>89.72</v>
      </c>
      <c r="H10" s="5">
        <v>22.43</v>
      </c>
      <c r="I10" t="s">
        <v>98</v>
      </c>
      <c r="J10" s="26">
        <f>H10*4</f>
        <v>89.72</v>
      </c>
    </row>
    <row r="12" spans="1:12" x14ac:dyDescent="0.25">
      <c r="B12" t="s">
        <v>52</v>
      </c>
      <c r="C12" s="19">
        <f>ROUND(C10*C9,0)</f>
        <v>37682</v>
      </c>
      <c r="D12" s="8"/>
      <c r="E12" s="20">
        <f>C12</f>
        <v>37682</v>
      </c>
      <c r="I12" t="s">
        <v>52</v>
      </c>
      <c r="J12" s="27">
        <f>ROUND(J10*J9,0)</f>
        <v>37682</v>
      </c>
      <c r="K12" s="28"/>
      <c r="L12" s="29">
        <f>J12</f>
        <v>37682</v>
      </c>
    </row>
    <row r="14" spans="1:12" x14ac:dyDescent="0.25">
      <c r="B14" s="30" t="s">
        <v>99</v>
      </c>
      <c r="I14" s="30" t="s">
        <v>99</v>
      </c>
    </row>
    <row r="15" spans="1:12" x14ac:dyDescent="0.25">
      <c r="B15" t="s">
        <v>100</v>
      </c>
      <c r="C15">
        <v>37.5</v>
      </c>
      <c r="I15" t="s">
        <v>100</v>
      </c>
      <c r="J15">
        <v>37.5</v>
      </c>
    </row>
    <row r="16" spans="1:12" x14ac:dyDescent="0.25">
      <c r="B16" t="s">
        <v>101</v>
      </c>
      <c r="C16">
        <f>C15*52</f>
        <v>1950</v>
      </c>
      <c r="I16" t="s">
        <v>101</v>
      </c>
      <c r="J16">
        <f>J15*52</f>
        <v>1950</v>
      </c>
    </row>
    <row r="17" spans="1:12" x14ac:dyDescent="0.25">
      <c r="B17" t="s">
        <v>102</v>
      </c>
      <c r="C17" s="31">
        <v>0.5</v>
      </c>
      <c r="D17" t="s">
        <v>110</v>
      </c>
      <c r="I17" t="s">
        <v>102</v>
      </c>
      <c r="J17" s="31">
        <v>0.5</v>
      </c>
      <c r="K17" t="s">
        <v>110</v>
      </c>
    </row>
    <row r="18" spans="1:12" x14ac:dyDescent="0.25">
      <c r="B18" t="s">
        <v>103</v>
      </c>
      <c r="C18">
        <f>C16*C17</f>
        <v>975</v>
      </c>
      <c r="I18" t="s">
        <v>103</v>
      </c>
      <c r="J18">
        <f>J16*J17</f>
        <v>975</v>
      </c>
    </row>
    <row r="19" spans="1:12" x14ac:dyDescent="0.25">
      <c r="B19" t="s">
        <v>104</v>
      </c>
      <c r="C19" s="32">
        <f>C6/C18</f>
        <v>0.61538461538461542</v>
      </c>
      <c r="D19" t="s">
        <v>12</v>
      </c>
      <c r="I19" t="s">
        <v>104</v>
      </c>
      <c r="J19" s="32">
        <f>J6/J18</f>
        <v>0.61538461538461542</v>
      </c>
      <c r="K19" t="s">
        <v>12</v>
      </c>
    </row>
    <row r="21" spans="1:12" x14ac:dyDescent="0.25">
      <c r="A21" s="5">
        <v>38500</v>
      </c>
      <c r="B21" t="s">
        <v>105</v>
      </c>
      <c r="C21" s="21">
        <f>ROUND(C19*A21,0)</f>
        <v>23692</v>
      </c>
      <c r="D21" s="21"/>
      <c r="E21" s="21"/>
      <c r="H21" s="5">
        <v>38500</v>
      </c>
      <c r="I21" t="s">
        <v>105</v>
      </c>
      <c r="J21" s="21">
        <f>ROUND(J19*H21,0)</f>
        <v>23692</v>
      </c>
      <c r="K21" s="21"/>
      <c r="L21" s="21"/>
    </row>
    <row r="22" spans="1:12" x14ac:dyDescent="0.25">
      <c r="A22" s="33">
        <v>0.32</v>
      </c>
      <c r="B22" t="s">
        <v>106</v>
      </c>
      <c r="C22" s="21">
        <f>ROUND(C21*A22,0)</f>
        <v>7581</v>
      </c>
      <c r="D22" s="21"/>
      <c r="E22" s="21"/>
      <c r="H22" s="33">
        <v>0.32</v>
      </c>
      <c r="I22" t="s">
        <v>106</v>
      </c>
      <c r="J22" s="21">
        <f>ROUND(J21*H22,0)</f>
        <v>7581</v>
      </c>
      <c r="K22" s="21"/>
      <c r="L22" s="21"/>
    </row>
    <row r="23" spans="1:12" x14ac:dyDescent="0.25">
      <c r="A23" s="5">
        <v>3500</v>
      </c>
      <c r="B23" t="s">
        <v>107</v>
      </c>
      <c r="C23" s="21">
        <f>ROUND(C19*A23,0)</f>
        <v>2154</v>
      </c>
      <c r="D23" s="21"/>
      <c r="E23" s="21"/>
      <c r="H23" s="5">
        <v>3500</v>
      </c>
      <c r="I23" t="s">
        <v>107</v>
      </c>
      <c r="J23" s="21">
        <f>ROUND(J19*H23,0)</f>
        <v>2154</v>
      </c>
      <c r="K23" s="21"/>
      <c r="L23" s="21"/>
    </row>
    <row r="24" spans="1:12" x14ac:dyDescent="0.25">
      <c r="B24" t="s">
        <v>108</v>
      </c>
      <c r="C24" s="21">
        <f>ROUND(SUM(C21:C23)*0.15,0)</f>
        <v>5014</v>
      </c>
      <c r="D24" s="21"/>
      <c r="E24" s="21"/>
      <c r="I24" t="s">
        <v>108</v>
      </c>
      <c r="J24" s="21">
        <f>ROUND(SUM(J21:J23)*0.15,0)</f>
        <v>5014</v>
      </c>
      <c r="K24" s="21"/>
      <c r="L24" s="21"/>
    </row>
    <row r="25" spans="1:12" x14ac:dyDescent="0.25">
      <c r="B25" t="s">
        <v>109</v>
      </c>
      <c r="C25" s="22">
        <f>SUM(C21:C24)</f>
        <v>38441</v>
      </c>
      <c r="D25" s="21"/>
      <c r="E25" s="22">
        <f>C25</f>
        <v>38441</v>
      </c>
      <c r="I25" t="s">
        <v>109</v>
      </c>
      <c r="J25" s="22">
        <f>SUM(J21:J24)</f>
        <v>38441</v>
      </c>
      <c r="K25" s="21"/>
      <c r="L25" s="22">
        <f>J25</f>
        <v>38441</v>
      </c>
    </row>
    <row r="26" spans="1:12" x14ac:dyDescent="0.25">
      <c r="C26" s="21"/>
      <c r="D26" s="21"/>
      <c r="E26" s="21"/>
      <c r="J26" s="21"/>
      <c r="K26" s="21"/>
      <c r="L26" s="21"/>
    </row>
    <row r="27" spans="1:12" x14ac:dyDescent="0.25">
      <c r="B27" t="s">
        <v>111</v>
      </c>
      <c r="C27" s="21">
        <f>C12-C25</f>
        <v>-759</v>
      </c>
      <c r="D27" s="21"/>
      <c r="E27" s="21"/>
      <c r="I27" t="s">
        <v>111</v>
      </c>
      <c r="J27" s="21">
        <f>J12-J25</f>
        <v>-759</v>
      </c>
      <c r="K27" s="21"/>
      <c r="L27" s="21"/>
    </row>
    <row r="29" spans="1:12" x14ac:dyDescent="0.25">
      <c r="B29" s="7" t="s">
        <v>118</v>
      </c>
      <c r="I29" s="7" t="s">
        <v>118</v>
      </c>
    </row>
    <row r="30" spans="1:12" x14ac:dyDescent="0.25">
      <c r="A30">
        <v>5</v>
      </c>
      <c r="B30" t="s">
        <v>112</v>
      </c>
      <c r="C30" s="7">
        <f>C19/A30</f>
        <v>0.12307692307692308</v>
      </c>
      <c r="D30" t="s">
        <v>12</v>
      </c>
      <c r="H30">
        <v>5</v>
      </c>
      <c r="I30" t="s">
        <v>112</v>
      </c>
      <c r="J30" s="34">
        <f>J19/H30</f>
        <v>0.12307692307692308</v>
      </c>
      <c r="K30" t="s">
        <v>12</v>
      </c>
    </row>
    <row r="31" spans="1:12" x14ac:dyDescent="0.25">
      <c r="A31" s="5">
        <v>45000</v>
      </c>
      <c r="B31" t="s">
        <v>113</v>
      </c>
      <c r="C31" s="21">
        <f>ROUND(C30*A31,0)</f>
        <v>5538</v>
      </c>
      <c r="D31" s="21"/>
      <c r="E31" s="21"/>
      <c r="H31" s="5">
        <v>45000</v>
      </c>
      <c r="I31" t="s">
        <v>113</v>
      </c>
      <c r="J31" s="21">
        <f>ROUND(J30*H31,0)</f>
        <v>5538</v>
      </c>
      <c r="K31" s="21"/>
      <c r="L31" s="21"/>
    </row>
    <row r="32" spans="1:12" x14ac:dyDescent="0.25">
      <c r="A32" s="5">
        <f>A22</f>
        <v>0.32</v>
      </c>
      <c r="B32" t="s">
        <v>114</v>
      </c>
      <c r="C32" s="21">
        <f>ROUND(C31*A32,0)</f>
        <v>1772</v>
      </c>
      <c r="D32" s="21"/>
      <c r="E32" s="21"/>
      <c r="H32" s="33">
        <f>H22</f>
        <v>0.32</v>
      </c>
      <c r="I32" t="s">
        <v>114</v>
      </c>
      <c r="J32" s="21">
        <f>ROUND(J31*H32,0)</f>
        <v>1772</v>
      </c>
      <c r="K32" s="21"/>
      <c r="L32" s="21"/>
    </row>
    <row r="33" spans="1:12" x14ac:dyDescent="0.25">
      <c r="A33" s="5">
        <v>3500</v>
      </c>
      <c r="B33" t="s">
        <v>115</v>
      </c>
      <c r="C33" s="21">
        <f>ROUND(C30*A33,0)</f>
        <v>431</v>
      </c>
      <c r="D33" s="21"/>
      <c r="E33" s="21"/>
      <c r="H33" s="5">
        <v>3500</v>
      </c>
      <c r="I33" t="s">
        <v>115</v>
      </c>
      <c r="J33" s="21">
        <f>ROUND(J30*H33,0)</f>
        <v>431</v>
      </c>
      <c r="K33" s="21"/>
      <c r="L33" s="21"/>
    </row>
    <row r="34" spans="1:12" x14ac:dyDescent="0.25">
      <c r="B34" t="s">
        <v>116</v>
      </c>
      <c r="C34" s="21">
        <f>ROUND(SUM(C31:C33)*0.15,0)</f>
        <v>1161</v>
      </c>
      <c r="D34" s="21"/>
      <c r="E34" s="21"/>
      <c r="I34" t="s">
        <v>116</v>
      </c>
      <c r="J34" s="21">
        <f>ROUND(SUM(J31:J33)*0.15,0)</f>
        <v>1161</v>
      </c>
      <c r="K34" s="21"/>
      <c r="L34" s="21"/>
    </row>
    <row r="35" spans="1:12" x14ac:dyDescent="0.25">
      <c r="B35" t="s">
        <v>117</v>
      </c>
      <c r="C35" s="22">
        <f>SUM(C31:C34)</f>
        <v>8902</v>
      </c>
      <c r="D35" s="21"/>
      <c r="E35" s="22">
        <f>C35</f>
        <v>8902</v>
      </c>
      <c r="I35" t="s">
        <v>117</v>
      </c>
      <c r="J35" s="22">
        <f>SUM(J31:J34)</f>
        <v>8902</v>
      </c>
      <c r="K35" s="21"/>
      <c r="L35" s="22">
        <f>J35</f>
        <v>8902</v>
      </c>
    </row>
    <row r="37" spans="1:12" x14ac:dyDescent="0.25">
      <c r="B37" s="7" t="s">
        <v>119</v>
      </c>
      <c r="I37" s="7" t="s">
        <v>119</v>
      </c>
    </row>
    <row r="38" spans="1:12" x14ac:dyDescent="0.25">
      <c r="A38">
        <v>0.25</v>
      </c>
      <c r="B38" t="s">
        <v>120</v>
      </c>
      <c r="C38">
        <f>A38</f>
        <v>0.25</v>
      </c>
      <c r="D38" t="s">
        <v>12</v>
      </c>
      <c r="H38">
        <v>0.25</v>
      </c>
      <c r="I38" t="s">
        <v>120</v>
      </c>
      <c r="J38" s="35">
        <f>H38</f>
        <v>0.25</v>
      </c>
      <c r="K38" t="s">
        <v>12</v>
      </c>
    </row>
    <row r="39" spans="1:12" x14ac:dyDescent="0.25">
      <c r="A39">
        <v>31000</v>
      </c>
      <c r="B39" t="s">
        <v>121</v>
      </c>
      <c r="C39" s="21">
        <f>ROUND(C38*A39,0)</f>
        <v>7750</v>
      </c>
      <c r="D39" s="21"/>
      <c r="E39" s="21"/>
      <c r="H39">
        <v>31000</v>
      </c>
      <c r="I39" t="s">
        <v>121</v>
      </c>
      <c r="J39" s="21">
        <f>ROUND(J38*H39,0)</f>
        <v>7750</v>
      </c>
      <c r="K39" s="21"/>
      <c r="L39" s="21"/>
    </row>
    <row r="40" spans="1:12" x14ac:dyDescent="0.25">
      <c r="A40" s="5">
        <f>A22</f>
        <v>0.32</v>
      </c>
      <c r="B40" t="s">
        <v>122</v>
      </c>
      <c r="C40" s="21">
        <f>ROUND(C39*A40,0)</f>
        <v>2480</v>
      </c>
      <c r="D40" s="21"/>
      <c r="E40" s="21"/>
      <c r="H40" s="5">
        <f>H22</f>
        <v>0.32</v>
      </c>
      <c r="I40" t="s">
        <v>122</v>
      </c>
      <c r="J40" s="21">
        <f>ROUND(J39*H40,0)</f>
        <v>2480</v>
      </c>
      <c r="K40" s="21"/>
      <c r="L40" s="21"/>
    </row>
    <row r="41" spans="1:12" x14ac:dyDescent="0.25">
      <c r="A41" s="5">
        <v>3500</v>
      </c>
      <c r="B41" t="s">
        <v>123</v>
      </c>
      <c r="C41" s="21">
        <f>ROUND(C38*A41,0)</f>
        <v>875</v>
      </c>
      <c r="D41" s="21"/>
      <c r="E41" s="21"/>
      <c r="H41" s="5">
        <v>3500</v>
      </c>
      <c r="I41" t="s">
        <v>123</v>
      </c>
      <c r="J41" s="21">
        <f>ROUND(J38*H41,0)</f>
        <v>875</v>
      </c>
      <c r="K41" s="21"/>
      <c r="L41" s="21"/>
    </row>
    <row r="42" spans="1:12" x14ac:dyDescent="0.25">
      <c r="B42" t="s">
        <v>124</v>
      </c>
      <c r="C42" s="21">
        <f>ROUND(SUM(C39:C41)*0.15,0)</f>
        <v>1666</v>
      </c>
      <c r="D42" s="21"/>
      <c r="E42" s="21"/>
      <c r="I42" t="s">
        <v>124</v>
      </c>
      <c r="J42" s="21">
        <f>ROUND(SUM(J39:J41)*0.15,0)</f>
        <v>1666</v>
      </c>
      <c r="K42" s="21"/>
      <c r="L42" s="21"/>
    </row>
    <row r="43" spans="1:12" x14ac:dyDescent="0.25">
      <c r="B43" t="s">
        <v>125</v>
      </c>
      <c r="C43" s="21">
        <f>SUM(C39:C42)</f>
        <v>12771</v>
      </c>
      <c r="D43" s="21"/>
      <c r="E43" s="22">
        <f>C43</f>
        <v>12771</v>
      </c>
      <c r="I43" t="s">
        <v>125</v>
      </c>
      <c r="J43" s="21">
        <f>SUM(J39:J42)</f>
        <v>12771</v>
      </c>
      <c r="K43" s="21"/>
      <c r="L43" s="22">
        <f>J43</f>
        <v>12771</v>
      </c>
    </row>
    <row r="44" spans="1:12" x14ac:dyDescent="0.25">
      <c r="C44" s="21"/>
      <c r="D44" s="21"/>
      <c r="E44" s="21"/>
      <c r="J44" s="21"/>
      <c r="K44" s="21"/>
      <c r="L44" s="21"/>
    </row>
    <row r="45" spans="1:12" ht="15.75" thickBot="1" x14ac:dyDescent="0.3">
      <c r="B45" t="s">
        <v>127</v>
      </c>
      <c r="C45" s="21"/>
      <c r="D45" s="21"/>
      <c r="E45" s="23">
        <f>SUM(E25:E44)</f>
        <v>60114</v>
      </c>
      <c r="I45" t="s">
        <v>127</v>
      </c>
      <c r="J45" s="21"/>
      <c r="K45" s="21"/>
      <c r="L45" s="23">
        <f>SUM(L25:L44)</f>
        <v>60114</v>
      </c>
    </row>
    <row r="46" spans="1:12" x14ac:dyDescent="0.25">
      <c r="C46" s="21"/>
      <c r="D46" s="21"/>
      <c r="E46" s="21"/>
      <c r="J46" s="21"/>
      <c r="K46" s="21"/>
      <c r="L46" s="21"/>
    </row>
    <row r="47" spans="1:12" x14ac:dyDescent="0.25">
      <c r="B47" t="s">
        <v>126</v>
      </c>
      <c r="C47" s="21"/>
      <c r="D47" s="21"/>
      <c r="E47" s="24">
        <f>E12-E45</f>
        <v>-22432</v>
      </c>
      <c r="I47" t="s">
        <v>126</v>
      </c>
      <c r="J47" s="21"/>
      <c r="K47" s="21"/>
      <c r="L47" s="24">
        <f>L12-L45</f>
        <v>-22432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B88FE-A00C-4A74-855C-C5B89681D5BF}">
  <dimension ref="A1:S87"/>
  <sheetViews>
    <sheetView zoomScaleNormal="100" workbookViewId="0">
      <selection activeCell="C32" sqref="C32:E41"/>
    </sheetView>
  </sheetViews>
  <sheetFormatPr defaultRowHeight="15" x14ac:dyDescent="0.25"/>
  <cols>
    <col min="1" max="1" width="6.7109375" customWidth="1"/>
    <col min="2" max="2" width="50.140625" customWidth="1"/>
    <col min="3" max="3" width="10.85546875" customWidth="1"/>
    <col min="7" max="7" width="22.140625" customWidth="1"/>
    <col min="8" max="8" width="9.5703125" customWidth="1"/>
    <col min="9" max="9" width="11.42578125" customWidth="1"/>
    <col min="10" max="10" width="3.28515625" customWidth="1"/>
    <col min="11" max="11" width="12" bestFit="1" customWidth="1"/>
    <col min="12" max="12" width="11" bestFit="1" customWidth="1"/>
    <col min="13" max="13" width="4" customWidth="1"/>
    <col min="16" max="16" width="6.42578125" customWidth="1"/>
    <col min="18" max="18" width="10.5703125" bestFit="1" customWidth="1"/>
    <col min="19" max="19" width="11" bestFit="1" customWidth="1"/>
  </cols>
  <sheetData>
    <row r="1" spans="2:19" x14ac:dyDescent="0.25">
      <c r="B1" s="7" t="s">
        <v>184</v>
      </c>
      <c r="C1" s="55" t="s">
        <v>176</v>
      </c>
      <c r="D1" s="55" t="s">
        <v>177</v>
      </c>
      <c r="E1" s="3" t="s">
        <v>42</v>
      </c>
      <c r="I1">
        <v>0.5</v>
      </c>
      <c r="L1">
        <v>0.5</v>
      </c>
    </row>
    <row r="2" spans="2:19" x14ac:dyDescent="0.25">
      <c r="H2" s="80" t="s">
        <v>178</v>
      </c>
      <c r="I2" s="80"/>
      <c r="K2" s="83" t="s">
        <v>179</v>
      </c>
      <c r="L2" s="80"/>
      <c r="N2" s="83" t="s">
        <v>90</v>
      </c>
      <c r="O2" s="80"/>
      <c r="Q2" s="83" t="s">
        <v>42</v>
      </c>
      <c r="R2" s="80"/>
    </row>
    <row r="3" spans="2:19" x14ac:dyDescent="0.25">
      <c r="B3" t="s">
        <v>0</v>
      </c>
      <c r="C3" s="52">
        <v>100</v>
      </c>
      <c r="D3" s="52">
        <v>150</v>
      </c>
      <c r="E3" s="52">
        <v>200</v>
      </c>
      <c r="H3" s="3" t="s">
        <v>12</v>
      </c>
      <c r="I3" s="3" t="s">
        <v>13</v>
      </c>
      <c r="K3" s="3" t="s">
        <v>12</v>
      </c>
      <c r="L3" s="3" t="s">
        <v>13</v>
      </c>
      <c r="Q3" s="3" t="s">
        <v>12</v>
      </c>
      <c r="R3" s="3" t="s">
        <v>13</v>
      </c>
    </row>
    <row r="4" spans="2:19" x14ac:dyDescent="0.25">
      <c r="B4" t="s">
        <v>134</v>
      </c>
      <c r="C4" s="31">
        <v>2</v>
      </c>
      <c r="D4" s="31">
        <v>2</v>
      </c>
      <c r="E4" s="31">
        <v>2</v>
      </c>
      <c r="G4" t="s">
        <v>81</v>
      </c>
      <c r="H4">
        <f>C59</f>
        <v>2.4700000000000002</v>
      </c>
      <c r="I4" s="8">
        <f>ROUND((H4*C21)*I1,0)</f>
        <v>51870</v>
      </c>
      <c r="K4">
        <f>D59</f>
        <v>3.71</v>
      </c>
      <c r="L4" s="8">
        <f>ROUND((K4*D21)*L1,0)</f>
        <v>77910</v>
      </c>
      <c r="N4">
        <f>O4/C21</f>
        <v>3.09</v>
      </c>
      <c r="O4" s="8">
        <f>L4+I4</f>
        <v>129780</v>
      </c>
      <c r="Q4">
        <f>E59</f>
        <v>4.95</v>
      </c>
      <c r="R4" s="8">
        <f>ROUND(Q4*E21,0)</f>
        <v>207900</v>
      </c>
    </row>
    <row r="5" spans="2:19" x14ac:dyDescent="0.25">
      <c r="B5" t="s">
        <v>84</v>
      </c>
      <c r="C5" s="33">
        <v>1</v>
      </c>
      <c r="D5" s="33">
        <v>1</v>
      </c>
      <c r="E5" s="33">
        <v>1</v>
      </c>
      <c r="G5" t="s">
        <v>14</v>
      </c>
      <c r="H5">
        <f>ROUND(H4/C17,2)</f>
        <v>0.49</v>
      </c>
      <c r="I5" s="8">
        <f>ROUND((H5*C22)*I1,0)</f>
        <v>12740</v>
      </c>
      <c r="K5">
        <f>ROUND(K4/D17,2)</f>
        <v>0.74</v>
      </c>
      <c r="L5" s="8">
        <f>ROUND((K5*D22)*L1,0)</f>
        <v>19240</v>
      </c>
      <c r="N5">
        <f>O5/C22</f>
        <v>0.61499999999999999</v>
      </c>
      <c r="O5" s="8">
        <f t="shared" ref="O5:O9" si="0">L5+I5</f>
        <v>31980</v>
      </c>
      <c r="Q5">
        <f>ROUND(Q4/E17,2)</f>
        <v>0.99</v>
      </c>
      <c r="R5" s="8">
        <f>ROUND(Q5*E22,0)</f>
        <v>51480</v>
      </c>
    </row>
    <row r="6" spans="2:19" x14ac:dyDescent="0.25">
      <c r="B6" s="43" t="s">
        <v>140</v>
      </c>
      <c r="C6" s="47">
        <f>1-C5</f>
        <v>0</v>
      </c>
      <c r="D6" s="47">
        <f t="shared" ref="D6:E6" si="1">1-D5</f>
        <v>0</v>
      </c>
      <c r="E6" s="47">
        <f t="shared" si="1"/>
        <v>0</v>
      </c>
      <c r="G6" t="s">
        <v>17</v>
      </c>
      <c r="H6">
        <f>C18</f>
        <v>0.75</v>
      </c>
      <c r="I6" s="8">
        <f>ROUND((H6*C23)*I1,0)</f>
        <v>14325</v>
      </c>
      <c r="K6">
        <f>D18</f>
        <v>1.25</v>
      </c>
      <c r="L6" s="8">
        <f>ROUND(K6*D23*L1,0)</f>
        <v>23875</v>
      </c>
      <c r="N6">
        <f>O6/C23</f>
        <v>1</v>
      </c>
      <c r="O6" s="8">
        <f t="shared" si="0"/>
        <v>38200</v>
      </c>
      <c r="Q6">
        <f>E18</f>
        <v>1.75</v>
      </c>
      <c r="R6" s="8">
        <f>ROUND(Q6*E23,0)</f>
        <v>66850</v>
      </c>
    </row>
    <row r="7" spans="2:19" x14ac:dyDescent="0.25">
      <c r="B7" s="42" t="s">
        <v>141</v>
      </c>
      <c r="G7" t="s">
        <v>15</v>
      </c>
      <c r="I7" s="8">
        <f>ROUND(SUM(I4:I6)*C19,0)</f>
        <v>25259</v>
      </c>
      <c r="L7" s="8">
        <f>ROUND(SUM(L4:L6)*D19,0)</f>
        <v>38728</v>
      </c>
      <c r="O7" s="8">
        <f t="shared" si="0"/>
        <v>63987</v>
      </c>
      <c r="R7" s="8">
        <f>ROUND(SUM(R4:R6)*E19,0)</f>
        <v>104394</v>
      </c>
    </row>
    <row r="8" spans="2:19" x14ac:dyDescent="0.25">
      <c r="B8" t="s">
        <v>182</v>
      </c>
      <c r="C8" s="15">
        <v>0.1</v>
      </c>
      <c r="D8" s="15">
        <v>0.1</v>
      </c>
      <c r="E8" s="15">
        <v>0.1</v>
      </c>
      <c r="G8" t="s">
        <v>19</v>
      </c>
      <c r="I8" s="8">
        <f>(SUM(H4:H6)*C20)*I1</f>
        <v>23187.5</v>
      </c>
      <c r="L8" s="8">
        <f>(SUM(K4:K6)*D20)*L1</f>
        <v>35625</v>
      </c>
      <c r="O8" s="8">
        <f t="shared" si="0"/>
        <v>58812.5</v>
      </c>
      <c r="R8" s="8">
        <f>SUM(Q4:Q6)*E20</f>
        <v>96125</v>
      </c>
    </row>
    <row r="9" spans="2:19" x14ac:dyDescent="0.25">
      <c r="B9" t="s">
        <v>47</v>
      </c>
      <c r="C9" s="15">
        <v>0.02</v>
      </c>
      <c r="D9" s="15">
        <v>0.02</v>
      </c>
      <c r="E9" s="15">
        <v>0.02</v>
      </c>
      <c r="G9" t="s">
        <v>20</v>
      </c>
      <c r="I9" s="8">
        <f>ROUND(SUM(I4:I8)*C24,0)</f>
        <v>19107</v>
      </c>
      <c r="L9" s="8">
        <f>ROUND(SUM(L4:L8)*D24,0)</f>
        <v>29307</v>
      </c>
      <c r="O9" s="8">
        <f t="shared" si="0"/>
        <v>48414</v>
      </c>
      <c r="R9" s="8">
        <f>ROUND(SUM(R4:R8)*E24,0)</f>
        <v>79012</v>
      </c>
    </row>
    <row r="10" spans="2:19" ht="15.75" thickBot="1" x14ac:dyDescent="0.3">
      <c r="B10" t="s">
        <v>36</v>
      </c>
      <c r="C10" s="15">
        <v>0.8</v>
      </c>
      <c r="D10" s="15">
        <v>0.8</v>
      </c>
      <c r="E10" s="15">
        <v>0.8</v>
      </c>
      <c r="G10" s="2" t="s">
        <v>22</v>
      </c>
      <c r="I10" s="11">
        <f>SUM(I4:I9)</f>
        <v>146488.5</v>
      </c>
      <c r="L10" s="11">
        <f>SUM(L4:L9)</f>
        <v>224685</v>
      </c>
      <c r="O10" s="11">
        <f>SUM(O4:O9)</f>
        <v>371173.5</v>
      </c>
      <c r="R10" s="11">
        <f>SUM(R4:R9)</f>
        <v>605761</v>
      </c>
    </row>
    <row r="11" spans="2:19" ht="15.75" thickTop="1" x14ac:dyDescent="0.25">
      <c r="B11" s="36" t="s">
        <v>136</v>
      </c>
      <c r="C11" s="47">
        <f>1-C8-C9-C10</f>
        <v>7.999999999999996E-2</v>
      </c>
      <c r="D11" s="47">
        <f>1-D8-D9-D10</f>
        <v>7.999999999999996E-2</v>
      </c>
      <c r="E11" s="47">
        <f>1-E8-E9-E10</f>
        <v>7.999999999999996E-2</v>
      </c>
    </row>
    <row r="12" spans="2:19" x14ac:dyDescent="0.25">
      <c r="B12" t="s">
        <v>4</v>
      </c>
      <c r="C12" s="15">
        <v>0.4</v>
      </c>
      <c r="D12" s="15">
        <v>0.4</v>
      </c>
      <c r="E12" s="15">
        <v>0.4</v>
      </c>
      <c r="G12" t="s">
        <v>186</v>
      </c>
      <c r="I12">
        <f>C55*I1</f>
        <v>900</v>
      </c>
      <c r="L12" s="8">
        <f>ROUND(D55*L1,0)</f>
        <v>1350</v>
      </c>
      <c r="O12" s="8">
        <f t="shared" ref="O12" si="2">L12+I12</f>
        <v>2250</v>
      </c>
      <c r="R12" s="8">
        <f>ROUND(E55,0)</f>
        <v>3600</v>
      </c>
    </row>
    <row r="13" spans="2:19" x14ac:dyDescent="0.25">
      <c r="B13" t="s">
        <v>185</v>
      </c>
      <c r="C13" s="52">
        <v>30</v>
      </c>
      <c r="D13" s="52">
        <v>30</v>
      </c>
      <c r="E13" s="52">
        <v>30</v>
      </c>
    </row>
    <row r="14" spans="2:19" x14ac:dyDescent="0.25">
      <c r="B14" s="48" t="s">
        <v>142</v>
      </c>
      <c r="G14" t="s">
        <v>83</v>
      </c>
      <c r="I14">
        <f>IF(I12&gt;0,ROUND(I10/I12,2),0)</f>
        <v>162.77000000000001</v>
      </c>
      <c r="L14">
        <f>IF(L12&gt;0,ROUND(L10/L12,2),0)</f>
        <v>166.43</v>
      </c>
      <c r="O14">
        <f>IF(O12&gt;0,ROUND(O10/O12,2),0)</f>
        <v>164.97</v>
      </c>
      <c r="R14">
        <f>IF(R12&gt;0,ROUND(R10/R12,2),0)</f>
        <v>168.27</v>
      </c>
    </row>
    <row r="15" spans="2:19" x14ac:dyDescent="0.25">
      <c r="B15" t="s">
        <v>138</v>
      </c>
      <c r="C15" s="31">
        <v>35</v>
      </c>
      <c r="D15" s="31">
        <v>35</v>
      </c>
      <c r="E15" s="31">
        <v>35</v>
      </c>
    </row>
    <row r="16" spans="2:19" x14ac:dyDescent="0.25">
      <c r="B16" t="s">
        <v>139</v>
      </c>
      <c r="C16" s="15">
        <v>0.4</v>
      </c>
      <c r="D16" s="15">
        <v>0.4</v>
      </c>
      <c r="E16" s="15">
        <v>0.4</v>
      </c>
      <c r="G16" t="s">
        <v>87</v>
      </c>
      <c r="I16" s="8">
        <f>SUM(C62:C67)</f>
        <v>193313</v>
      </c>
      <c r="J16" s="8"/>
      <c r="K16" s="8"/>
      <c r="L16" s="8">
        <f>SUM(D62:D67)</f>
        <v>289971</v>
      </c>
      <c r="M16" s="8"/>
      <c r="N16" s="8"/>
      <c r="O16" s="8">
        <f t="shared" ref="O16:O17" si="3">L16+I16</f>
        <v>483284</v>
      </c>
      <c r="P16" s="53"/>
      <c r="Q16" s="8"/>
      <c r="R16" s="8">
        <f>SUM(E62:E67)</f>
        <v>773255</v>
      </c>
      <c r="S16" s="25"/>
    </row>
    <row r="17" spans="2:19" x14ac:dyDescent="0.25">
      <c r="B17" t="s">
        <v>82</v>
      </c>
      <c r="C17" s="31">
        <v>5</v>
      </c>
      <c r="D17" s="31">
        <v>5</v>
      </c>
      <c r="E17" s="31">
        <v>5</v>
      </c>
      <c r="G17" t="s">
        <v>131</v>
      </c>
      <c r="H17" s="40"/>
      <c r="I17" s="44"/>
      <c r="J17" s="40"/>
      <c r="K17" s="40"/>
      <c r="L17" s="44"/>
      <c r="M17" s="40"/>
      <c r="N17" s="40"/>
      <c r="O17" s="54">
        <f t="shared" si="3"/>
        <v>0</v>
      </c>
      <c r="P17" s="41"/>
      <c r="Q17" s="40"/>
      <c r="R17" s="44"/>
      <c r="S17" s="41"/>
    </row>
    <row r="18" spans="2:19" x14ac:dyDescent="0.25">
      <c r="B18" t="s">
        <v>175</v>
      </c>
      <c r="C18" s="31">
        <v>0.75</v>
      </c>
      <c r="D18" s="31">
        <v>1.25</v>
      </c>
      <c r="E18" s="31">
        <v>1.75</v>
      </c>
      <c r="G18" t="s">
        <v>89</v>
      </c>
      <c r="I18" s="17">
        <f>SUM(I16:I17)</f>
        <v>193313</v>
      </c>
      <c r="L18" s="17">
        <f>SUM(L16:L17)</f>
        <v>289971</v>
      </c>
      <c r="O18" s="17">
        <f>SUM(O16:O17)</f>
        <v>483284</v>
      </c>
      <c r="P18" s="25"/>
      <c r="R18" s="17">
        <f>SUM(R16:R17)</f>
        <v>773255</v>
      </c>
      <c r="S18" s="25"/>
    </row>
    <row r="19" spans="2:19" x14ac:dyDescent="0.25">
      <c r="B19" t="s">
        <v>5</v>
      </c>
      <c r="C19" s="15">
        <v>0.32</v>
      </c>
      <c r="D19" s="15">
        <v>0.32</v>
      </c>
      <c r="E19" s="15">
        <v>0.32</v>
      </c>
    </row>
    <row r="20" spans="2:19" x14ac:dyDescent="0.25">
      <c r="B20" t="s">
        <v>145</v>
      </c>
      <c r="C20" s="16">
        <v>12500</v>
      </c>
      <c r="D20" s="16">
        <v>12500</v>
      </c>
      <c r="E20" s="16">
        <v>12500</v>
      </c>
      <c r="G20" t="s">
        <v>85</v>
      </c>
      <c r="I20">
        <f>IF(I18&gt;0,ROUND(I18/I12,2),0)</f>
        <v>214.79</v>
      </c>
      <c r="L20">
        <f>IF(L18&gt;0,ROUND(L18/L12,2),0)</f>
        <v>214.79</v>
      </c>
      <c r="O20">
        <f>IF(O18&gt;0,ROUND(O18/O12,2),0)</f>
        <v>214.79</v>
      </c>
      <c r="R20">
        <f>IF(R18&gt;0,ROUND(R18/R12,2),0)</f>
        <v>214.79</v>
      </c>
    </row>
    <row r="21" spans="2:19" x14ac:dyDescent="0.25">
      <c r="B21" t="s">
        <v>10</v>
      </c>
      <c r="C21" s="16">
        <v>42000</v>
      </c>
      <c r="D21" s="16">
        <v>42000</v>
      </c>
      <c r="E21" s="16">
        <v>42000</v>
      </c>
    </row>
    <row r="22" spans="2:19" x14ac:dyDescent="0.25">
      <c r="B22" t="s">
        <v>11</v>
      </c>
      <c r="C22" s="16">
        <v>52000</v>
      </c>
      <c r="D22" s="16">
        <v>52000</v>
      </c>
      <c r="E22" s="16">
        <v>52000</v>
      </c>
      <c r="G22" t="s">
        <v>86</v>
      </c>
      <c r="I22" s="65">
        <f>I18-I10</f>
        <v>46824.5</v>
      </c>
      <c r="J22" s="65"/>
      <c r="K22" s="65"/>
      <c r="L22" s="65">
        <f>L18-L10</f>
        <v>65286</v>
      </c>
      <c r="M22" s="65"/>
      <c r="N22" s="65"/>
      <c r="O22" s="65">
        <f>O18-O10</f>
        <v>112110.5</v>
      </c>
      <c r="P22" s="65"/>
      <c r="Q22" s="65"/>
      <c r="R22" s="65">
        <f>R18-R10</f>
        <v>167494</v>
      </c>
    </row>
    <row r="23" spans="2:19" x14ac:dyDescent="0.25">
      <c r="B23" t="s">
        <v>18</v>
      </c>
      <c r="C23" s="16">
        <v>38200</v>
      </c>
      <c r="D23" s="16">
        <v>38200</v>
      </c>
      <c r="E23" s="16">
        <v>38200</v>
      </c>
    </row>
    <row r="24" spans="2:19" x14ac:dyDescent="0.25">
      <c r="B24" t="s">
        <v>21</v>
      </c>
      <c r="C24" s="15">
        <v>0.15</v>
      </c>
      <c r="D24" s="15">
        <v>0.15</v>
      </c>
      <c r="E24" s="15">
        <v>0.15</v>
      </c>
      <c r="R24" s="58"/>
    </row>
    <row r="25" spans="2:19" x14ac:dyDescent="0.25">
      <c r="B25" s="42" t="s">
        <v>135</v>
      </c>
      <c r="G25" s="43"/>
      <c r="H25" s="40"/>
      <c r="I25" s="40"/>
      <c r="J25" s="40"/>
      <c r="L25" s="40"/>
      <c r="M25" s="40"/>
      <c r="N25" s="57"/>
      <c r="O25" s="40"/>
      <c r="P25" s="40"/>
      <c r="Q25" s="40"/>
      <c r="R25" s="59"/>
      <c r="S25" s="40"/>
    </row>
    <row r="26" spans="2:19" x14ac:dyDescent="0.25">
      <c r="B26" t="s">
        <v>72</v>
      </c>
      <c r="C26" s="16">
        <v>30</v>
      </c>
      <c r="D26" s="16">
        <v>30</v>
      </c>
      <c r="E26" s="16">
        <v>30</v>
      </c>
      <c r="G26" s="43"/>
      <c r="H26" s="40"/>
      <c r="I26" s="40"/>
      <c r="J26" s="40"/>
      <c r="L26" s="40"/>
      <c r="M26" s="40"/>
      <c r="N26" s="40"/>
      <c r="O26" s="40"/>
      <c r="P26" s="40"/>
      <c r="Q26" s="40"/>
      <c r="R26" s="59"/>
      <c r="S26" s="41"/>
    </row>
    <row r="27" spans="2:19" x14ac:dyDescent="0.25">
      <c r="B27" t="s">
        <v>73</v>
      </c>
      <c r="C27" s="16">
        <v>60</v>
      </c>
      <c r="D27" s="16">
        <v>60</v>
      </c>
      <c r="E27" s="16">
        <v>60</v>
      </c>
      <c r="G27" s="43"/>
      <c r="R27" s="58"/>
    </row>
    <row r="28" spans="2:19" x14ac:dyDescent="0.25">
      <c r="B28" t="s">
        <v>74</v>
      </c>
      <c r="C28" s="16">
        <v>45</v>
      </c>
      <c r="D28" s="16">
        <v>45</v>
      </c>
      <c r="E28" s="16">
        <v>45</v>
      </c>
      <c r="G28" s="43"/>
      <c r="I28" s="40"/>
      <c r="J28" s="40"/>
      <c r="L28" s="40"/>
      <c r="M28" s="40"/>
      <c r="N28" s="57"/>
      <c r="O28" s="40"/>
      <c r="P28" s="40"/>
      <c r="Q28" s="40"/>
      <c r="R28" s="60"/>
    </row>
    <row r="29" spans="2:19" x14ac:dyDescent="0.25">
      <c r="B29" t="s">
        <v>75</v>
      </c>
      <c r="C29" s="16">
        <v>60</v>
      </c>
      <c r="D29" s="16">
        <v>60</v>
      </c>
      <c r="E29" s="16">
        <v>60</v>
      </c>
      <c r="G29" s="43"/>
      <c r="I29" s="40"/>
      <c r="J29" s="40"/>
      <c r="L29" s="56"/>
      <c r="M29" s="40"/>
      <c r="N29" s="57"/>
      <c r="O29" s="40"/>
      <c r="P29" s="40"/>
      <c r="Q29" s="40"/>
      <c r="R29" s="60"/>
    </row>
    <row r="30" spans="2:19" x14ac:dyDescent="0.25">
      <c r="B30" s="42" t="s">
        <v>143</v>
      </c>
      <c r="C30" s="16">
        <v>4</v>
      </c>
      <c r="D30" s="16">
        <v>4</v>
      </c>
      <c r="E30" s="16">
        <v>4</v>
      </c>
      <c r="I30" s="40"/>
      <c r="J30" s="40"/>
      <c r="L30" s="40"/>
      <c r="M30" s="40"/>
      <c r="N30" s="40"/>
      <c r="O30" s="40"/>
      <c r="P30" s="40"/>
      <c r="Q30" s="40"/>
      <c r="R30" s="61"/>
    </row>
    <row r="31" spans="2:19" x14ac:dyDescent="0.25">
      <c r="G31" s="40"/>
      <c r="R31" s="58"/>
    </row>
    <row r="32" spans="2:19" x14ac:dyDescent="0.25">
      <c r="B32" s="42" t="s">
        <v>132</v>
      </c>
      <c r="C32" s="10" t="s">
        <v>254</v>
      </c>
      <c r="D32" s="85" t="s">
        <v>253</v>
      </c>
      <c r="E32" s="10"/>
    </row>
    <row r="33" spans="2:11" x14ac:dyDescent="0.25">
      <c r="B33" t="s">
        <v>26</v>
      </c>
      <c r="C33" s="5">
        <v>57.48</v>
      </c>
      <c r="D33" s="5">
        <v>57.48</v>
      </c>
      <c r="E33" s="5">
        <v>57.48</v>
      </c>
    </row>
    <row r="34" spans="2:11" x14ac:dyDescent="0.25">
      <c r="B34" t="s">
        <v>37</v>
      </c>
      <c r="C34" s="5">
        <v>44</v>
      </c>
      <c r="D34" s="5">
        <v>44</v>
      </c>
      <c r="E34" s="5">
        <v>44</v>
      </c>
    </row>
    <row r="35" spans="2:11" x14ac:dyDescent="0.25">
      <c r="B35" t="s">
        <v>28</v>
      </c>
      <c r="C35" s="5">
        <v>69.150000000000006</v>
      </c>
      <c r="D35" s="5">
        <v>69.150000000000006</v>
      </c>
      <c r="E35" s="5">
        <v>69.150000000000006</v>
      </c>
    </row>
    <row r="36" spans="2:11" x14ac:dyDescent="0.25">
      <c r="B36" t="s">
        <v>29</v>
      </c>
      <c r="C36" s="5">
        <v>48.41</v>
      </c>
      <c r="D36" s="5">
        <v>48.41</v>
      </c>
      <c r="E36" s="5">
        <v>48.41</v>
      </c>
    </row>
    <row r="37" spans="2:11" x14ac:dyDescent="0.25">
      <c r="B37" t="s">
        <v>30</v>
      </c>
      <c r="C37" s="5">
        <v>16.16</v>
      </c>
      <c r="D37" s="5">
        <v>16.16</v>
      </c>
      <c r="E37" s="5">
        <v>16.16</v>
      </c>
    </row>
    <row r="38" spans="2:11" x14ac:dyDescent="0.25">
      <c r="B38" t="s">
        <v>32</v>
      </c>
      <c r="C38" s="5">
        <v>21.27</v>
      </c>
      <c r="D38" s="5">
        <v>21.27</v>
      </c>
      <c r="E38" s="5">
        <v>21.27</v>
      </c>
    </row>
    <row r="39" spans="2:11" x14ac:dyDescent="0.25">
      <c r="B39" t="s">
        <v>33</v>
      </c>
      <c r="C39" s="5">
        <v>11</v>
      </c>
      <c r="D39" s="5">
        <v>11</v>
      </c>
      <c r="E39" s="5">
        <v>11</v>
      </c>
    </row>
    <row r="40" spans="2:11" x14ac:dyDescent="0.25">
      <c r="B40" t="s">
        <v>34</v>
      </c>
      <c r="C40" s="5">
        <v>11</v>
      </c>
      <c r="D40" s="5">
        <v>11</v>
      </c>
      <c r="E40" s="5">
        <v>11</v>
      </c>
    </row>
    <row r="41" spans="2:11" x14ac:dyDescent="0.25">
      <c r="B41" t="s">
        <v>35</v>
      </c>
      <c r="C41" s="5">
        <v>5.32</v>
      </c>
      <c r="D41" s="5">
        <v>5.32</v>
      </c>
      <c r="E41" s="5">
        <v>5.32</v>
      </c>
    </row>
    <row r="42" spans="2:11" s="50" customFormat="1" x14ac:dyDescent="0.25"/>
    <row r="44" spans="2:11" x14ac:dyDescent="0.25">
      <c r="B44" s="42" t="s">
        <v>76</v>
      </c>
    </row>
    <row r="45" spans="2:11" x14ac:dyDescent="0.25">
      <c r="B45" t="s">
        <v>72</v>
      </c>
      <c r="C45" s="45">
        <f t="shared" ref="C45:E48" si="4">ROUND(C$49*C8,0)</f>
        <v>240</v>
      </c>
      <c r="D45" s="45">
        <f t="shared" si="4"/>
        <v>360</v>
      </c>
      <c r="E45" s="45">
        <f t="shared" si="4"/>
        <v>480</v>
      </c>
    </row>
    <row r="46" spans="2:11" x14ac:dyDescent="0.25">
      <c r="B46" t="s">
        <v>73</v>
      </c>
      <c r="C46" s="45">
        <f t="shared" si="4"/>
        <v>48</v>
      </c>
      <c r="D46" s="45">
        <f t="shared" si="4"/>
        <v>72</v>
      </c>
      <c r="E46" s="45">
        <f t="shared" si="4"/>
        <v>96</v>
      </c>
    </row>
    <row r="47" spans="2:11" x14ac:dyDescent="0.25">
      <c r="B47" t="s">
        <v>74</v>
      </c>
      <c r="C47" s="45">
        <f t="shared" si="4"/>
        <v>1920</v>
      </c>
      <c r="D47" s="45">
        <f t="shared" si="4"/>
        <v>2880</v>
      </c>
      <c r="E47" s="45">
        <f t="shared" si="4"/>
        <v>3840</v>
      </c>
    </row>
    <row r="48" spans="2:11" x14ac:dyDescent="0.25">
      <c r="B48" t="s">
        <v>75</v>
      </c>
      <c r="C48" s="45">
        <f t="shared" si="4"/>
        <v>192</v>
      </c>
      <c r="D48" s="45">
        <f t="shared" si="4"/>
        <v>288</v>
      </c>
      <c r="E48" s="45">
        <f t="shared" si="4"/>
        <v>384</v>
      </c>
      <c r="I48" s="7"/>
      <c r="K48" s="7"/>
    </row>
    <row r="49" spans="2:11" x14ac:dyDescent="0.25">
      <c r="B49" t="s">
        <v>71</v>
      </c>
      <c r="C49" s="12">
        <f>C3*C4*12</f>
        <v>2400</v>
      </c>
      <c r="D49" s="12">
        <f>D3*D4*12</f>
        <v>3600</v>
      </c>
      <c r="E49" s="12">
        <f>E3*E4*12</f>
        <v>4800</v>
      </c>
    </row>
    <row r="50" spans="2:11" x14ac:dyDescent="0.25">
      <c r="B50" s="46" t="s">
        <v>77</v>
      </c>
    </row>
    <row r="51" spans="2:11" x14ac:dyDescent="0.25">
      <c r="B51" t="s">
        <v>72</v>
      </c>
      <c r="C51" s="12">
        <f t="shared" ref="C51:E53" si="5">(C45*C26)/60</f>
        <v>120</v>
      </c>
      <c r="D51" s="12">
        <f t="shared" si="5"/>
        <v>180</v>
      </c>
      <c r="E51" s="12">
        <f t="shared" si="5"/>
        <v>240</v>
      </c>
    </row>
    <row r="52" spans="2:11" x14ac:dyDescent="0.25">
      <c r="B52" t="s">
        <v>73</v>
      </c>
      <c r="C52" s="12">
        <f t="shared" si="5"/>
        <v>48</v>
      </c>
      <c r="D52" s="12">
        <f t="shared" si="5"/>
        <v>72</v>
      </c>
      <c r="E52" s="12">
        <f t="shared" si="5"/>
        <v>96</v>
      </c>
    </row>
    <row r="53" spans="2:11" x14ac:dyDescent="0.25">
      <c r="B53" t="s">
        <v>74</v>
      </c>
      <c r="C53" s="12">
        <f t="shared" si="5"/>
        <v>1440</v>
      </c>
      <c r="D53" s="12">
        <f t="shared" si="5"/>
        <v>2160</v>
      </c>
      <c r="E53" s="12">
        <f t="shared" si="5"/>
        <v>2880</v>
      </c>
    </row>
    <row r="54" spans="2:11" x14ac:dyDescent="0.25">
      <c r="B54" t="s">
        <v>75</v>
      </c>
      <c r="C54" s="12">
        <f>((C48*C29)/60)</f>
        <v>192</v>
      </c>
      <c r="D54" s="12">
        <f>((D48*D29)/60)</f>
        <v>288</v>
      </c>
      <c r="E54" s="12">
        <f>((E48*E29)/60)</f>
        <v>384</v>
      </c>
    </row>
    <row r="55" spans="2:11" x14ac:dyDescent="0.25">
      <c r="B55" t="s">
        <v>78</v>
      </c>
      <c r="C55" s="13">
        <f>SUM(C51:C54)</f>
        <v>1800</v>
      </c>
      <c r="D55" s="13">
        <f>SUM(D51:D54)</f>
        <v>2700</v>
      </c>
      <c r="E55" s="13">
        <f>SUM(E51:E54)</f>
        <v>3600</v>
      </c>
    </row>
    <row r="57" spans="2:11" x14ac:dyDescent="0.25">
      <c r="B57" t="s">
        <v>144</v>
      </c>
      <c r="C57" s="12">
        <f>(C15*52)</f>
        <v>1820</v>
      </c>
      <c r="D57" s="12">
        <f>(D15*52)</f>
        <v>1820</v>
      </c>
      <c r="E57" s="12">
        <f>(E15*52)</f>
        <v>1820</v>
      </c>
    </row>
    <row r="58" spans="2:11" x14ac:dyDescent="0.25">
      <c r="B58" t="s">
        <v>183</v>
      </c>
      <c r="C58" s="12">
        <f>C57*C16</f>
        <v>728</v>
      </c>
      <c r="D58" s="12">
        <f>D57*D16</f>
        <v>728</v>
      </c>
      <c r="E58" s="12">
        <f>E57*E16</f>
        <v>728</v>
      </c>
    </row>
    <row r="59" spans="2:11" x14ac:dyDescent="0.25">
      <c r="B59" t="s">
        <v>80</v>
      </c>
      <c r="C59" s="12">
        <f>ROUND(C55/C58,2)</f>
        <v>2.4700000000000002</v>
      </c>
      <c r="D59" s="12">
        <f>ROUND(D55/D58,2)</f>
        <v>3.71</v>
      </c>
      <c r="E59" s="12">
        <f>ROUND(E55/E58,2)</f>
        <v>4.95</v>
      </c>
    </row>
    <row r="61" spans="2:11" x14ac:dyDescent="0.25">
      <c r="B61" s="42" t="s">
        <v>129</v>
      </c>
    </row>
    <row r="62" spans="2:11" x14ac:dyDescent="0.25">
      <c r="B62" t="s">
        <v>72</v>
      </c>
      <c r="C62" s="49">
        <f>ROUND(((C$51*C$5*I$1)*C33)*4,0)</f>
        <v>13795</v>
      </c>
      <c r="D62" s="49">
        <f>ROUND(((D$51*D$5*L$1)*D33)*4,0)</f>
        <v>20693</v>
      </c>
      <c r="E62" s="49">
        <f>ROUND(((E$51*E$5)*E33)*4,0)</f>
        <v>55181</v>
      </c>
    </row>
    <row r="63" spans="2:11" x14ac:dyDescent="0.25">
      <c r="B63" t="s">
        <v>73</v>
      </c>
      <c r="C63" s="49">
        <f>ROUND(((C$52*C$5*I$1)*C35)*4,0)</f>
        <v>6638</v>
      </c>
      <c r="D63" s="49">
        <f>ROUND(((D$52*D$5*L$1)*D35)*4,0)</f>
        <v>9958</v>
      </c>
      <c r="E63" s="49">
        <f>ROUND(((E$52*E$5)*E35)*4,0)</f>
        <v>26554</v>
      </c>
      <c r="K63" s="7"/>
    </row>
    <row r="64" spans="2:11" x14ac:dyDescent="0.25">
      <c r="B64" t="s">
        <v>74</v>
      </c>
      <c r="C64" s="49">
        <f>ROUND(((C$53*C$5*I$1)*C34)*4,0)</f>
        <v>126720</v>
      </c>
      <c r="D64" s="49">
        <f>ROUND(((D$53*D$5*L$1)*D34)*4,0)</f>
        <v>190080</v>
      </c>
      <c r="E64" s="49">
        <f>ROUND(((E$53*E$5)*E34)*4,0)</f>
        <v>506880</v>
      </c>
    </row>
    <row r="65" spans="2:5" x14ac:dyDescent="0.25">
      <c r="B65" t="s">
        <v>75</v>
      </c>
      <c r="C65" s="49">
        <f>ROUND((((C$54*C$30)*I$1*C$5)*C38)*4,0)</f>
        <v>32671</v>
      </c>
      <c r="D65" s="49">
        <f>ROUND((((D$54*D$30)*L$1*D$5)*D38)*4,0)</f>
        <v>49006</v>
      </c>
      <c r="E65" s="49">
        <f>ROUND((((E$54*E$30)*E$5)*E38)*4,0)</f>
        <v>130683</v>
      </c>
    </row>
    <row r="66" spans="2:5" x14ac:dyDescent="0.25">
      <c r="B66" t="s">
        <v>247</v>
      </c>
      <c r="C66" s="49">
        <f>ROUND(((C$53*C$5*I$1*C$12)*C40)*4,0)</f>
        <v>12672</v>
      </c>
      <c r="D66" s="49">
        <f>ROUND(((D$53*D$5*L$1*D$12)*D40)*4,0)</f>
        <v>19008</v>
      </c>
      <c r="E66" s="49">
        <f>ROUND(((E$53*E$5*E$12)*E40)*4,0)</f>
        <v>50688</v>
      </c>
    </row>
    <row r="67" spans="2:5" x14ac:dyDescent="0.25">
      <c r="B67" t="s">
        <v>248</v>
      </c>
      <c r="C67" s="49">
        <f>ROUND(((C$54*C$5*I$1*C$12)*C41)*4,0)</f>
        <v>817</v>
      </c>
      <c r="D67" s="49">
        <f>ROUND(((D$54*D$5*L$1*D$12)*D41)*4,0)</f>
        <v>1226</v>
      </c>
      <c r="E67" s="49">
        <f>ROUND(((E$54*E$5*E$12)*E41)*4,0)</f>
        <v>3269</v>
      </c>
    </row>
    <row r="69" spans="2:5" x14ac:dyDescent="0.25">
      <c r="B69" s="18" t="s">
        <v>130</v>
      </c>
    </row>
    <row r="70" spans="2:5" x14ac:dyDescent="0.25">
      <c r="B70" t="s">
        <v>72</v>
      </c>
      <c r="C70" s="12">
        <f>ROUND(((C$51*C$6*I$1)*C79)*4,0)</f>
        <v>0</v>
      </c>
      <c r="D70" s="12">
        <f>ROUND(((D$51*D$6*L$1)*D79)*4,0)</f>
        <v>0</v>
      </c>
      <c r="E70" s="12">
        <f>ROUND(((E$51*E$6)*E79)*4,0)</f>
        <v>0</v>
      </c>
    </row>
    <row r="71" spans="2:5" x14ac:dyDescent="0.25">
      <c r="B71" t="s">
        <v>73</v>
      </c>
      <c r="C71" s="12">
        <f>ROUND(((C$52*C$10*I$1)*C81)*4,0)</f>
        <v>0</v>
      </c>
      <c r="D71" s="12">
        <f>ROUND(((D$52*D$10*L$1)*D81)*4,0)</f>
        <v>0</v>
      </c>
      <c r="E71" s="12">
        <f>ROUND(((E$52*E$10)*E81)*4,0)</f>
        <v>0</v>
      </c>
    </row>
    <row r="72" spans="2:5" x14ac:dyDescent="0.25">
      <c r="B72" t="s">
        <v>74</v>
      </c>
      <c r="C72" s="12">
        <f>ROUND(((C$53*C$6*I$1)*C80)*4,0)</f>
        <v>0</v>
      </c>
      <c r="D72" s="12">
        <f>ROUND(((D$53*D$6*L$1)*D80)*4,0)</f>
        <v>0</v>
      </c>
      <c r="E72" s="12">
        <f>ROUND(((E$53*E$6)*E80)*4,0)</f>
        <v>0</v>
      </c>
    </row>
    <row r="73" spans="2:5" x14ac:dyDescent="0.25">
      <c r="B73" t="s">
        <v>75</v>
      </c>
      <c r="C73" s="12">
        <f>ROUND((((C$54*C$30)*I$1*C$6)*C84)*4,0)</f>
        <v>0</v>
      </c>
      <c r="D73" s="12">
        <f>ROUND((((D$54*D$30)*L$1*D$6)*D84)*4,0)</f>
        <v>0</v>
      </c>
      <c r="E73" s="12">
        <f>ROUND((((E$54*E$30)*E$6)*E84)*4,0)</f>
        <v>0</v>
      </c>
    </row>
    <row r="74" spans="2:5" x14ac:dyDescent="0.25">
      <c r="B74" t="s">
        <v>56</v>
      </c>
      <c r="C74" s="12">
        <f>ROUND((((((C$45+C$46+C$47)*C$12)*C$6)*I$1)*(C$13/15))*C85,0)</f>
        <v>0</v>
      </c>
      <c r="D74" s="12">
        <f>ROUND((((((D$45+D$46+D$47)*D$12)*D$6)*L$1)*(D$13/15))*D85,0)</f>
        <v>0</v>
      </c>
      <c r="E74" s="12">
        <f>ROUND((((((E$45+E$46+E$47)*E$12)*E$6))*(E$13/15))*E85,0)</f>
        <v>0</v>
      </c>
    </row>
    <row r="75" spans="2:5" x14ac:dyDescent="0.25">
      <c r="B75" t="s">
        <v>57</v>
      </c>
      <c r="C75" s="12">
        <f>ROUND(((((C$48*C$12)*C$6)*I$1)*(C$13/15))*C87,0)</f>
        <v>0</v>
      </c>
      <c r="D75" s="12">
        <f>ROUND(((((D$48*D$12)*D$6)*L$1)*(D$13/15))*D87,0)</f>
        <v>0</v>
      </c>
      <c r="E75" s="12">
        <f>ROUND(((((E$48*E$12)*E$6))*(E$13/15))*E87,0)</f>
        <v>0</v>
      </c>
    </row>
    <row r="78" spans="2:5" x14ac:dyDescent="0.25">
      <c r="B78" s="18" t="s">
        <v>133</v>
      </c>
      <c r="C78" s="38">
        <f>1-C5</f>
        <v>0</v>
      </c>
      <c r="D78" s="38">
        <f>1-D5</f>
        <v>0</v>
      </c>
      <c r="E78" s="38">
        <f>1-E5</f>
        <v>0</v>
      </c>
    </row>
    <row r="79" spans="2:5" x14ac:dyDescent="0.25">
      <c r="B79" t="s">
        <v>26</v>
      </c>
      <c r="C79" s="37">
        <f t="shared" ref="C79:E87" si="6">C33*$A$85</f>
        <v>0</v>
      </c>
      <c r="D79" s="37">
        <f t="shared" si="6"/>
        <v>0</v>
      </c>
      <c r="E79" s="37">
        <f t="shared" si="6"/>
        <v>0</v>
      </c>
    </row>
    <row r="80" spans="2:5" x14ac:dyDescent="0.25">
      <c r="B80" t="s">
        <v>37</v>
      </c>
      <c r="C80" s="37">
        <f t="shared" si="6"/>
        <v>0</v>
      </c>
      <c r="D80" s="37">
        <f t="shared" si="6"/>
        <v>0</v>
      </c>
      <c r="E80" s="37">
        <f t="shared" si="6"/>
        <v>0</v>
      </c>
    </row>
    <row r="81" spans="1:5" x14ac:dyDescent="0.25">
      <c r="B81" t="s">
        <v>28</v>
      </c>
      <c r="C81" s="37">
        <f t="shared" si="6"/>
        <v>0</v>
      </c>
      <c r="D81" s="37">
        <f t="shared" si="6"/>
        <v>0</v>
      </c>
      <c r="E81" s="37">
        <f t="shared" si="6"/>
        <v>0</v>
      </c>
    </row>
    <row r="82" spans="1:5" x14ac:dyDescent="0.25">
      <c r="B82" t="s">
        <v>29</v>
      </c>
      <c r="C82" s="37">
        <f t="shared" si="6"/>
        <v>0</v>
      </c>
      <c r="D82" s="37">
        <f t="shared" si="6"/>
        <v>0</v>
      </c>
      <c r="E82" s="37">
        <f t="shared" si="6"/>
        <v>0</v>
      </c>
    </row>
    <row r="83" spans="1:5" x14ac:dyDescent="0.25">
      <c r="B83" t="s">
        <v>30</v>
      </c>
      <c r="C83" s="37">
        <f t="shared" si="6"/>
        <v>0</v>
      </c>
      <c r="D83" s="37">
        <f t="shared" si="6"/>
        <v>0</v>
      </c>
      <c r="E83" s="37">
        <f t="shared" si="6"/>
        <v>0</v>
      </c>
    </row>
    <row r="84" spans="1:5" x14ac:dyDescent="0.25">
      <c r="B84" t="s">
        <v>32</v>
      </c>
      <c r="C84" s="37">
        <f t="shared" si="6"/>
        <v>0</v>
      </c>
      <c r="D84" s="37">
        <f t="shared" si="6"/>
        <v>0</v>
      </c>
      <c r="E84" s="37">
        <f t="shared" si="6"/>
        <v>0</v>
      </c>
    </row>
    <row r="85" spans="1:5" x14ac:dyDescent="0.25">
      <c r="A85" s="39"/>
      <c r="B85" t="s">
        <v>33</v>
      </c>
      <c r="C85" s="37">
        <f t="shared" si="6"/>
        <v>0</v>
      </c>
      <c r="D85" s="37">
        <f t="shared" si="6"/>
        <v>0</v>
      </c>
      <c r="E85" s="37">
        <f t="shared" si="6"/>
        <v>0</v>
      </c>
    </row>
    <row r="86" spans="1:5" x14ac:dyDescent="0.25">
      <c r="B86" t="s">
        <v>34</v>
      </c>
      <c r="C86" s="37">
        <f t="shared" si="6"/>
        <v>0</v>
      </c>
      <c r="D86" s="37">
        <f t="shared" si="6"/>
        <v>0</v>
      </c>
      <c r="E86" s="37">
        <f t="shared" si="6"/>
        <v>0</v>
      </c>
    </row>
    <row r="87" spans="1:5" x14ac:dyDescent="0.25">
      <c r="B87" t="s">
        <v>35</v>
      </c>
      <c r="C87" s="37">
        <f t="shared" si="6"/>
        <v>0</v>
      </c>
      <c r="D87" s="37">
        <f t="shared" si="6"/>
        <v>0</v>
      </c>
      <c r="E87" s="37">
        <f t="shared" si="6"/>
        <v>0</v>
      </c>
    </row>
  </sheetData>
  <mergeCells count="4">
    <mergeCell ref="H2:I2"/>
    <mergeCell ref="K2:L2"/>
    <mergeCell ref="N2:O2"/>
    <mergeCell ref="Q2:R2"/>
  </mergeCells>
  <pageMargins left="0.25" right="0.25" top="0.5" bottom="0.5" header="0.25" footer="0.25"/>
  <pageSetup scale="94" orientation="portrait" r:id="rId1"/>
  <colBreaks count="1" manualBreakCount="1">
    <brk id="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8697-D4DC-44C7-AA87-142F5911CC55}">
  <dimension ref="A1:R67"/>
  <sheetViews>
    <sheetView workbookViewId="0">
      <selection activeCell="C32" sqref="C32:E41"/>
    </sheetView>
  </sheetViews>
  <sheetFormatPr defaultRowHeight="15" x14ac:dyDescent="0.25"/>
  <cols>
    <col min="1" max="1" width="3.42578125" customWidth="1"/>
    <col min="2" max="2" width="39.28515625" customWidth="1"/>
    <col min="7" max="7" width="22.140625" customWidth="1"/>
    <col min="8" max="9" width="9.5703125" customWidth="1"/>
    <col min="10" max="10" width="4.5703125" customWidth="1"/>
    <col min="13" max="13" width="4" customWidth="1"/>
    <col min="16" max="16" width="6.42578125" customWidth="1"/>
  </cols>
  <sheetData>
    <row r="1" spans="1:18" x14ac:dyDescent="0.25">
      <c r="A1" s="7" t="s">
        <v>157</v>
      </c>
      <c r="B1" s="7"/>
      <c r="C1" s="55" t="s">
        <v>176</v>
      </c>
      <c r="D1" s="55" t="s">
        <v>177</v>
      </c>
      <c r="E1" s="3" t="s">
        <v>42</v>
      </c>
      <c r="I1">
        <v>0.5</v>
      </c>
      <c r="L1">
        <v>0.5</v>
      </c>
    </row>
    <row r="2" spans="1:18" x14ac:dyDescent="0.25">
      <c r="H2" s="80" t="s">
        <v>178</v>
      </c>
      <c r="I2" s="80"/>
      <c r="K2" s="83" t="s">
        <v>179</v>
      </c>
      <c r="L2" s="83"/>
      <c r="N2" s="83" t="s">
        <v>90</v>
      </c>
      <c r="O2" s="83"/>
      <c r="Q2" s="83" t="s">
        <v>42</v>
      </c>
      <c r="R2" s="83"/>
    </row>
    <row r="3" spans="1:18" x14ac:dyDescent="0.25">
      <c r="B3" t="s">
        <v>0</v>
      </c>
      <c r="C3" s="52">
        <v>1E-3</v>
      </c>
      <c r="D3" s="52">
        <v>1E-3</v>
      </c>
      <c r="E3" s="52">
        <v>1E-3</v>
      </c>
      <c r="H3" s="3" t="s">
        <v>12</v>
      </c>
      <c r="I3" s="3" t="s">
        <v>13</v>
      </c>
      <c r="K3" s="3" t="s">
        <v>12</v>
      </c>
      <c r="L3" s="3" t="s">
        <v>13</v>
      </c>
      <c r="Q3" s="3" t="s">
        <v>12</v>
      </c>
      <c r="R3" s="3" t="s">
        <v>13</v>
      </c>
    </row>
    <row r="4" spans="1:18" x14ac:dyDescent="0.25">
      <c r="B4" t="s">
        <v>134</v>
      </c>
      <c r="C4" s="31">
        <v>1E-3</v>
      </c>
      <c r="D4" s="31">
        <v>1E-3</v>
      </c>
      <c r="E4" s="31">
        <v>1E-3</v>
      </c>
      <c r="G4" t="s">
        <v>81</v>
      </c>
      <c r="H4">
        <f>C46</f>
        <v>0</v>
      </c>
      <c r="I4" s="8">
        <f>ROUND((H4*C21)*I1,0)</f>
        <v>0</v>
      </c>
      <c r="K4">
        <f>D46</f>
        <v>0</v>
      </c>
      <c r="L4" s="8">
        <f>ROUND((K4*D21)*L1,0)</f>
        <v>0</v>
      </c>
      <c r="N4">
        <f>O4/C21</f>
        <v>0</v>
      </c>
      <c r="O4" s="8">
        <f>L4+I4</f>
        <v>0</v>
      </c>
      <c r="Q4">
        <f>E46</f>
        <v>0</v>
      </c>
      <c r="R4" s="8">
        <f>ROUND(Q4*E21,0)</f>
        <v>0</v>
      </c>
    </row>
    <row r="5" spans="1:18" x14ac:dyDescent="0.25">
      <c r="B5" t="s">
        <v>84</v>
      </c>
      <c r="C5" s="33">
        <v>1</v>
      </c>
      <c r="D5" s="33">
        <v>1</v>
      </c>
      <c r="E5" s="33">
        <v>1</v>
      </c>
      <c r="G5" t="s">
        <v>14</v>
      </c>
      <c r="H5">
        <f>ROUND(H4/C17,2)</f>
        <v>0</v>
      </c>
      <c r="I5" s="8">
        <f>ROUND((H5*C22)*I1,0)</f>
        <v>0</v>
      </c>
      <c r="K5">
        <f>ROUND(K4/D17,2)</f>
        <v>0</v>
      </c>
      <c r="L5" s="8">
        <f>ROUND((K5*D22)*L1,0)</f>
        <v>0</v>
      </c>
      <c r="N5">
        <f>O5/C22</f>
        <v>0</v>
      </c>
      <c r="O5" s="8">
        <f t="shared" ref="O5:O9" si="0">L5+I5</f>
        <v>0</v>
      </c>
      <c r="Q5">
        <f>ROUND(Q4/E17,2)</f>
        <v>0</v>
      </c>
      <c r="R5" s="8">
        <f>ROUND(Q5*E22,0)</f>
        <v>0</v>
      </c>
    </row>
    <row r="6" spans="1:18" x14ac:dyDescent="0.25">
      <c r="A6" s="43"/>
      <c r="B6" s="43"/>
      <c r="G6" t="s">
        <v>17</v>
      </c>
      <c r="H6">
        <f>C18</f>
        <v>0</v>
      </c>
      <c r="I6" s="8">
        <f>ROUND((H6*C23)*I1,0)</f>
        <v>0</v>
      </c>
      <c r="K6">
        <f>D18</f>
        <v>0</v>
      </c>
      <c r="L6" s="8">
        <f>ROUND(K6*D23*L1,0)</f>
        <v>0</v>
      </c>
      <c r="N6">
        <f>O6/C23</f>
        <v>0</v>
      </c>
      <c r="O6" s="8">
        <f t="shared" si="0"/>
        <v>0</v>
      </c>
      <c r="Q6">
        <f>E18</f>
        <v>0</v>
      </c>
      <c r="R6" s="8">
        <f>ROUND(Q6*E23,0)</f>
        <v>0</v>
      </c>
    </row>
    <row r="7" spans="1:18" x14ac:dyDescent="0.25">
      <c r="A7" s="42"/>
      <c r="B7" s="42" t="s">
        <v>141</v>
      </c>
      <c r="G7" t="s">
        <v>15</v>
      </c>
      <c r="I7" s="8">
        <f>ROUND(SUM(I4:I6)*C19,0)</f>
        <v>0</v>
      </c>
      <c r="L7" s="8">
        <f>ROUND(SUM(L4:L6)*D19,0)</f>
        <v>0</v>
      </c>
      <c r="O7" s="8">
        <f t="shared" si="0"/>
        <v>0</v>
      </c>
      <c r="R7" s="8">
        <f>ROUND(SUM(R4:R6)*E19,0)</f>
        <v>0</v>
      </c>
    </row>
    <row r="8" spans="1:18" x14ac:dyDescent="0.25">
      <c r="B8" t="s">
        <v>182</v>
      </c>
      <c r="C8" s="51"/>
      <c r="D8" s="51"/>
      <c r="E8" s="51"/>
      <c r="G8" t="s">
        <v>19</v>
      </c>
      <c r="I8" s="8">
        <f>SUM(H4:H6)*C20</f>
        <v>0</v>
      </c>
      <c r="L8" s="8">
        <f>SUM(K4:K6)*D20</f>
        <v>0</v>
      </c>
      <c r="O8" s="8">
        <f t="shared" si="0"/>
        <v>0</v>
      </c>
      <c r="R8" s="8">
        <f>SUM(Q4:Q6)*E20</f>
        <v>0</v>
      </c>
    </row>
    <row r="9" spans="1:18" x14ac:dyDescent="0.25">
      <c r="B9" t="s">
        <v>47</v>
      </c>
      <c r="C9" s="51"/>
      <c r="D9" s="51"/>
      <c r="E9" s="51"/>
      <c r="G9" t="s">
        <v>20</v>
      </c>
      <c r="I9" s="8">
        <f>ROUND(SUM(I4:I8)*C24,0)</f>
        <v>0</v>
      </c>
      <c r="L9" s="8">
        <f>ROUND(SUM(L4:L8)*D24,0)</f>
        <v>0</v>
      </c>
      <c r="O9" s="8">
        <f t="shared" si="0"/>
        <v>0</v>
      </c>
      <c r="R9" s="8">
        <f>ROUND(SUM(R4:R8)*E24,0)</f>
        <v>0</v>
      </c>
    </row>
    <row r="10" spans="1:18" ht="15.75" thickBot="1" x14ac:dyDescent="0.3">
      <c r="B10" t="s">
        <v>36</v>
      </c>
      <c r="C10" s="15">
        <v>1E-3</v>
      </c>
      <c r="D10" s="15">
        <v>1E-3</v>
      </c>
      <c r="E10" s="15">
        <v>1E-3</v>
      </c>
      <c r="G10" s="2" t="s">
        <v>22</v>
      </c>
      <c r="I10" s="11">
        <f>SUM(I4:I9)</f>
        <v>0</v>
      </c>
      <c r="L10" s="11">
        <f>SUM(L4:L9)</f>
        <v>0</v>
      </c>
      <c r="O10" s="11">
        <f>SUM(O4:O9)</f>
        <v>0</v>
      </c>
      <c r="R10" s="11">
        <f>SUM(R4:R9)</f>
        <v>0</v>
      </c>
    </row>
    <row r="11" spans="1:18" ht="15.75" thickTop="1" x14ac:dyDescent="0.25">
      <c r="A11" s="36"/>
      <c r="B11" s="36" t="s">
        <v>136</v>
      </c>
      <c r="C11" s="47">
        <f>1-C8-C9-C10</f>
        <v>0.999</v>
      </c>
      <c r="D11" s="47">
        <f>1-D8-D9-D10</f>
        <v>0.999</v>
      </c>
      <c r="E11" s="47">
        <f>1-E8-E9-E10</f>
        <v>0.999</v>
      </c>
    </row>
    <row r="12" spans="1:18" x14ac:dyDescent="0.25">
      <c r="B12" t="s">
        <v>4</v>
      </c>
      <c r="C12" s="15">
        <v>1E-3</v>
      </c>
      <c r="D12" s="15">
        <v>1E-3</v>
      </c>
      <c r="E12" s="15">
        <v>1E-3</v>
      </c>
      <c r="G12" t="s">
        <v>186</v>
      </c>
      <c r="I12">
        <f>C67*I1</f>
        <v>0</v>
      </c>
      <c r="L12">
        <f>ROUND(D67*L1,0)</f>
        <v>0</v>
      </c>
      <c r="O12" s="8">
        <f t="shared" ref="O12" si="1">L12+I12</f>
        <v>0</v>
      </c>
      <c r="R12" s="8">
        <f>ROUND(E67,0)</f>
        <v>0</v>
      </c>
    </row>
    <row r="13" spans="1:18" x14ac:dyDescent="0.25">
      <c r="B13" t="s">
        <v>137</v>
      </c>
      <c r="C13" s="52">
        <v>1E-3</v>
      </c>
      <c r="D13" s="52">
        <v>1E-3</v>
      </c>
      <c r="E13" s="52">
        <v>1E-3</v>
      </c>
    </row>
    <row r="14" spans="1:18" x14ac:dyDescent="0.25">
      <c r="A14" s="48"/>
      <c r="B14" s="48" t="s">
        <v>142</v>
      </c>
      <c r="G14" t="s">
        <v>83</v>
      </c>
      <c r="I14">
        <f>IF(I12&gt;0,ROUND(I10/I12,2),0)</f>
        <v>0</v>
      </c>
      <c r="L14">
        <f>IF(L12&gt;0,ROUND(L10/L12,2),0)</f>
        <v>0</v>
      </c>
      <c r="O14">
        <f>IF(O12&gt;0,ROUND(O10/O12,2),0)</f>
        <v>0</v>
      </c>
      <c r="R14">
        <f>IF(R12&gt;0,ROUND(R10/R12,2),0)</f>
        <v>0</v>
      </c>
    </row>
    <row r="15" spans="1:18" x14ac:dyDescent="0.25">
      <c r="B15" t="s">
        <v>138</v>
      </c>
      <c r="C15" s="31">
        <v>1E-3</v>
      </c>
      <c r="D15" s="31">
        <v>1E-3</v>
      </c>
      <c r="E15" s="31">
        <v>1E-3</v>
      </c>
    </row>
    <row r="16" spans="1:18" x14ac:dyDescent="0.25">
      <c r="B16" t="s">
        <v>139</v>
      </c>
      <c r="C16" s="15">
        <v>1E-3</v>
      </c>
      <c r="D16" s="15">
        <v>1E-3</v>
      </c>
      <c r="E16" s="15">
        <v>1E-3</v>
      </c>
      <c r="G16" t="s">
        <v>87</v>
      </c>
      <c r="I16" s="8">
        <f>SUM(C49:C54)</f>
        <v>0</v>
      </c>
      <c r="J16" s="8"/>
      <c r="K16" s="8"/>
      <c r="L16" s="8">
        <f>SUM(D49:D54)</f>
        <v>0</v>
      </c>
      <c r="M16" s="8"/>
      <c r="N16" s="8"/>
      <c r="O16" s="8">
        <f t="shared" ref="O16:O17" si="2">L16+I16</f>
        <v>0</v>
      </c>
      <c r="P16" s="8"/>
      <c r="Q16" s="8"/>
      <c r="R16" s="8">
        <f>SUM(E49:E54)</f>
        <v>0</v>
      </c>
    </row>
    <row r="17" spans="1:18" x14ac:dyDescent="0.25">
      <c r="B17" t="s">
        <v>82</v>
      </c>
      <c r="C17" s="31">
        <v>1E-3</v>
      </c>
      <c r="D17" s="31">
        <v>1E-3</v>
      </c>
      <c r="E17" s="31">
        <v>1E-3</v>
      </c>
      <c r="G17" t="s">
        <v>88</v>
      </c>
      <c r="I17" s="16"/>
      <c r="J17" s="8"/>
      <c r="K17" s="8"/>
      <c r="L17" s="16"/>
      <c r="M17" s="8"/>
      <c r="N17" s="8"/>
      <c r="O17" s="54">
        <f t="shared" si="2"/>
        <v>0</v>
      </c>
      <c r="P17" s="8"/>
      <c r="Q17" s="8"/>
      <c r="R17" s="16"/>
    </row>
    <row r="18" spans="1:18" x14ac:dyDescent="0.25">
      <c r="B18" t="s">
        <v>175</v>
      </c>
      <c r="C18" s="31">
        <v>0</v>
      </c>
      <c r="D18" s="31">
        <v>0</v>
      </c>
      <c r="E18" s="31">
        <v>0</v>
      </c>
      <c r="G18" t="s">
        <v>89</v>
      </c>
      <c r="I18" s="17">
        <f>SUM(I16:I17)</f>
        <v>0</v>
      </c>
      <c r="L18" s="17">
        <f>SUM(L16:L17)</f>
        <v>0</v>
      </c>
      <c r="O18" s="17">
        <f>SUM(O16:O17)</f>
        <v>0</v>
      </c>
      <c r="R18" s="17">
        <f>SUM(R16:R17)</f>
        <v>0</v>
      </c>
    </row>
    <row r="19" spans="1:18" x14ac:dyDescent="0.25">
      <c r="B19" t="s">
        <v>5</v>
      </c>
      <c r="C19" s="15">
        <v>1E-3</v>
      </c>
      <c r="D19" s="15">
        <v>1E-3</v>
      </c>
      <c r="E19" s="15">
        <v>1E-3</v>
      </c>
    </row>
    <row r="20" spans="1:18" x14ac:dyDescent="0.25">
      <c r="B20" t="s">
        <v>145</v>
      </c>
      <c r="C20" s="16">
        <v>1E-3</v>
      </c>
      <c r="D20" s="16">
        <v>1E-3</v>
      </c>
      <c r="E20" s="16">
        <v>1E-3</v>
      </c>
      <c r="G20" t="s">
        <v>85</v>
      </c>
      <c r="I20">
        <f>IF(I18&gt;0,ROUND(I18/I12,2),0)</f>
        <v>0</v>
      </c>
      <c r="L20">
        <f>IF(L18&gt;0,ROUND(L18/L12,2),0)</f>
        <v>0</v>
      </c>
      <c r="O20">
        <f>IF(O18&gt;0,ROUND(O18/O12,2),0)</f>
        <v>0</v>
      </c>
      <c r="R20">
        <f>IF(R18&gt;0,ROUND(R18/R12,2),0)</f>
        <v>0</v>
      </c>
    </row>
    <row r="21" spans="1:18" x14ac:dyDescent="0.25">
      <c r="B21" t="s">
        <v>10</v>
      </c>
      <c r="C21" s="16">
        <v>1E-3</v>
      </c>
      <c r="D21" s="16">
        <v>1E-3</v>
      </c>
      <c r="E21" s="16">
        <v>1E-3</v>
      </c>
    </row>
    <row r="22" spans="1:18" x14ac:dyDescent="0.25">
      <c r="B22" t="s">
        <v>11</v>
      </c>
      <c r="C22" s="16">
        <v>1E-3</v>
      </c>
      <c r="D22" s="16">
        <v>1E-3</v>
      </c>
      <c r="E22" s="16">
        <v>1E-3</v>
      </c>
      <c r="G22" t="s">
        <v>86</v>
      </c>
      <c r="I22" s="65">
        <f>I16-I10</f>
        <v>0</v>
      </c>
      <c r="J22" s="65"/>
      <c r="K22" s="65"/>
      <c r="L22" s="65">
        <f>L16-L10</f>
        <v>0</v>
      </c>
      <c r="M22" s="65"/>
      <c r="N22" s="65"/>
      <c r="O22" s="65">
        <f>O16-O10</f>
        <v>0</v>
      </c>
      <c r="P22" s="65"/>
      <c r="Q22" s="65"/>
      <c r="R22" s="65">
        <f>R16-R10</f>
        <v>0</v>
      </c>
    </row>
    <row r="23" spans="1:18" x14ac:dyDescent="0.25">
      <c r="B23" t="s">
        <v>18</v>
      </c>
      <c r="C23" s="16">
        <v>1E-3</v>
      </c>
      <c r="D23" s="16">
        <v>1E-3</v>
      </c>
      <c r="E23" s="16">
        <v>1E-3</v>
      </c>
    </row>
    <row r="24" spans="1:18" x14ac:dyDescent="0.25">
      <c r="B24" t="s">
        <v>21</v>
      </c>
      <c r="C24" s="15">
        <v>1E-3</v>
      </c>
      <c r="D24" s="15">
        <v>1E-3</v>
      </c>
      <c r="E24" s="15">
        <v>1E-3</v>
      </c>
    </row>
    <row r="25" spans="1:18" x14ac:dyDescent="0.25">
      <c r="A25" s="42"/>
      <c r="B25" s="42" t="s">
        <v>135</v>
      </c>
      <c r="G25" s="43"/>
      <c r="H25" s="40"/>
      <c r="I25" s="40"/>
      <c r="J25" s="40"/>
      <c r="K25" s="40"/>
    </row>
    <row r="26" spans="1:18" x14ac:dyDescent="0.25">
      <c r="B26" t="s">
        <v>72</v>
      </c>
      <c r="C26" s="51"/>
      <c r="D26" s="51"/>
      <c r="E26" s="51"/>
      <c r="G26" s="43"/>
      <c r="H26" s="40"/>
      <c r="I26" s="40"/>
      <c r="J26" s="40"/>
      <c r="K26" s="40"/>
    </row>
    <row r="27" spans="1:18" x14ac:dyDescent="0.25">
      <c r="B27" t="s">
        <v>73</v>
      </c>
      <c r="C27" s="51"/>
      <c r="D27" s="51"/>
      <c r="E27" s="51"/>
      <c r="G27" s="43"/>
    </row>
    <row r="28" spans="1:18" x14ac:dyDescent="0.25">
      <c r="B28" t="s">
        <v>74</v>
      </c>
      <c r="C28" s="52">
        <v>1E-3</v>
      </c>
      <c r="D28" s="52">
        <v>1E-3</v>
      </c>
      <c r="E28" s="52">
        <v>1E-3</v>
      </c>
      <c r="G28" s="43"/>
      <c r="I28" s="40"/>
      <c r="J28" s="40"/>
      <c r="K28" s="40"/>
    </row>
    <row r="29" spans="1:18" x14ac:dyDescent="0.25">
      <c r="B29" t="s">
        <v>75</v>
      </c>
      <c r="C29" s="52">
        <v>1E-3</v>
      </c>
      <c r="D29" s="52">
        <v>1E-3</v>
      </c>
      <c r="E29" s="52">
        <v>1E-3</v>
      </c>
      <c r="G29" s="43"/>
      <c r="I29" s="40"/>
      <c r="J29" s="40"/>
      <c r="K29" s="40"/>
    </row>
    <row r="30" spans="1:18" x14ac:dyDescent="0.25">
      <c r="A30" s="42"/>
      <c r="B30" s="42" t="s">
        <v>143</v>
      </c>
      <c r="C30" s="52">
        <v>1E-3</v>
      </c>
      <c r="D30" s="52">
        <v>1E-3</v>
      </c>
      <c r="E30" s="52">
        <v>1E-3</v>
      </c>
    </row>
    <row r="31" spans="1:18" x14ac:dyDescent="0.25">
      <c r="K31" s="40"/>
    </row>
    <row r="32" spans="1:18" x14ac:dyDescent="0.25">
      <c r="A32" s="42"/>
      <c r="B32" s="42" t="s">
        <v>132</v>
      </c>
      <c r="C32" s="10" t="s">
        <v>254</v>
      </c>
      <c r="D32" s="85" t="s">
        <v>253</v>
      </c>
    </row>
    <row r="33" spans="2:5" hidden="1" x14ac:dyDescent="0.25">
      <c r="C33" s="14"/>
      <c r="D33" s="5"/>
      <c r="E33" s="5"/>
    </row>
    <row r="34" spans="2:5" x14ac:dyDescent="0.25">
      <c r="B34" t="s">
        <v>187</v>
      </c>
      <c r="C34" s="5">
        <v>27.93</v>
      </c>
      <c r="D34" s="5">
        <v>27.93</v>
      </c>
      <c r="E34" s="5">
        <v>27.93</v>
      </c>
    </row>
    <row r="35" spans="2:5" hidden="1" x14ac:dyDescent="0.25">
      <c r="B35" t="s">
        <v>28</v>
      </c>
      <c r="C35" s="5"/>
      <c r="D35" s="5"/>
      <c r="E35" s="5"/>
    </row>
    <row r="36" spans="2:5" hidden="1" x14ac:dyDescent="0.25">
      <c r="B36" t="s">
        <v>29</v>
      </c>
      <c r="C36" s="5"/>
      <c r="D36" s="5"/>
      <c r="E36" s="5"/>
    </row>
    <row r="37" spans="2:5" hidden="1" x14ac:dyDescent="0.25">
      <c r="B37" t="s">
        <v>30</v>
      </c>
      <c r="C37" s="5"/>
      <c r="D37" s="5"/>
      <c r="E37" s="5"/>
    </row>
    <row r="38" spans="2:5" x14ac:dyDescent="0.25">
      <c r="B38" t="s">
        <v>146</v>
      </c>
      <c r="C38" s="5">
        <v>12.88</v>
      </c>
      <c r="D38" s="5">
        <v>12.88</v>
      </c>
      <c r="E38" s="5">
        <v>12.88</v>
      </c>
    </row>
    <row r="39" spans="2:5" x14ac:dyDescent="0.25">
      <c r="B39" t="s">
        <v>147</v>
      </c>
      <c r="C39" s="5">
        <v>4.93</v>
      </c>
      <c r="D39" s="5">
        <v>4.93</v>
      </c>
      <c r="E39" s="5">
        <v>4.93</v>
      </c>
    </row>
    <row r="40" spans="2:5" x14ac:dyDescent="0.25">
      <c r="B40" t="s">
        <v>148</v>
      </c>
      <c r="C40" s="5">
        <v>4.93</v>
      </c>
      <c r="D40" s="5">
        <v>4.93</v>
      </c>
      <c r="E40" s="5">
        <v>4.93</v>
      </c>
    </row>
    <row r="41" spans="2:5" x14ac:dyDescent="0.25">
      <c r="B41" t="s">
        <v>149</v>
      </c>
      <c r="C41" s="5">
        <v>2.39</v>
      </c>
      <c r="D41" s="5">
        <v>2.39</v>
      </c>
      <c r="E41" s="5">
        <v>2.39</v>
      </c>
    </row>
    <row r="42" spans="2:5" s="50" customFormat="1" x14ac:dyDescent="0.25"/>
    <row r="43" spans="2:5" ht="15.75" x14ac:dyDescent="0.25">
      <c r="B43" s="84" t="s">
        <v>150</v>
      </c>
      <c r="C43" s="84"/>
      <c r="D43" s="84"/>
      <c r="E43" s="84"/>
    </row>
    <row r="44" spans="2:5" x14ac:dyDescent="0.25">
      <c r="B44" t="s">
        <v>79</v>
      </c>
      <c r="C44" s="12">
        <f>(C15*52)</f>
        <v>5.2000000000000005E-2</v>
      </c>
      <c r="D44" s="12">
        <f>(D15*52)</f>
        <v>5.2000000000000005E-2</v>
      </c>
      <c r="E44" s="12">
        <f>(E15*52)</f>
        <v>5.2000000000000005E-2</v>
      </c>
    </row>
    <row r="45" spans="2:5" x14ac:dyDescent="0.25">
      <c r="B45" t="s">
        <v>183</v>
      </c>
      <c r="C45" s="12">
        <f>C44*C16</f>
        <v>5.2000000000000004E-5</v>
      </c>
      <c r="D45" s="12">
        <f>D44*D16</f>
        <v>5.2000000000000004E-5</v>
      </c>
      <c r="E45" s="12">
        <f>E44*E16</f>
        <v>5.2000000000000004E-5</v>
      </c>
    </row>
    <row r="46" spans="2:5" x14ac:dyDescent="0.25">
      <c r="B46" t="s">
        <v>80</v>
      </c>
      <c r="C46" s="12">
        <f>ROUND(C67/C45,2)</f>
        <v>0</v>
      </c>
      <c r="D46" s="12">
        <f>ROUND(D67/D45,2)</f>
        <v>0</v>
      </c>
      <c r="E46" s="12">
        <f>ROUND(E67/E45,2)</f>
        <v>0</v>
      </c>
    </row>
    <row r="47" spans="2:5" x14ac:dyDescent="0.25">
      <c r="C47" s="1"/>
      <c r="D47" s="1"/>
      <c r="E47" s="1"/>
    </row>
    <row r="48" spans="2:5" x14ac:dyDescent="0.25">
      <c r="B48" s="7" t="s">
        <v>52</v>
      </c>
    </row>
    <row r="49" spans="2:5" x14ac:dyDescent="0.25">
      <c r="B49" t="s">
        <v>72</v>
      </c>
      <c r="C49" s="12">
        <f>ROUND(((C63*C5*I1)*C33)*4,0)</f>
        <v>0</v>
      </c>
      <c r="D49" s="12">
        <f>ROUND(((D63*D5*L1)*D33)*4,0)</f>
        <v>0</v>
      </c>
      <c r="E49" s="12">
        <f>ROUND(((E63*E5)*E33)*4,0)</f>
        <v>0</v>
      </c>
    </row>
    <row r="50" spans="2:5" x14ac:dyDescent="0.25">
      <c r="B50" t="s">
        <v>73</v>
      </c>
      <c r="C50" s="12">
        <f>ROUND(((C64*C10*I1)*C35)*4,0)</f>
        <v>0</v>
      </c>
      <c r="D50" s="12">
        <f>ROUND(((D64*D10*L1)*D35)*4,0)</f>
        <v>0</v>
      </c>
      <c r="E50" s="12">
        <f>ROUND(((E64*E10)*E35)*4,0)</f>
        <v>0</v>
      </c>
    </row>
    <row r="51" spans="2:5" x14ac:dyDescent="0.25">
      <c r="B51" t="s">
        <v>74</v>
      </c>
      <c r="C51" s="12">
        <f>ROUND(((C65*C5*I1)*C34)*4,0)</f>
        <v>0</v>
      </c>
      <c r="D51" s="12">
        <f>ROUND(((D65*D5*L1)*D34)*4,0)</f>
        <v>0</v>
      </c>
      <c r="E51" s="12">
        <f>ROUND(((E65*E5)*E34)*4,0)</f>
        <v>0</v>
      </c>
    </row>
    <row r="52" spans="2:5" x14ac:dyDescent="0.25">
      <c r="B52" t="s">
        <v>75</v>
      </c>
      <c r="C52" s="12">
        <f>ROUND(((((C66*C30)*I1)*C5)*C38)*4,0)</f>
        <v>0</v>
      </c>
      <c r="D52" s="12">
        <f>ROUND((((D66*D30)*L1*D5)*D38)*4,0)</f>
        <v>0</v>
      </c>
      <c r="E52" s="12">
        <f>ROUND((((E66*E30)*E5)*E38)*4,0)</f>
        <v>0</v>
      </c>
    </row>
    <row r="53" spans="2:5" x14ac:dyDescent="0.25">
      <c r="B53" t="s">
        <v>247</v>
      </c>
      <c r="C53" s="12">
        <f>ROUND(((C65*C$5*I$1*C$12)*C40)*4,0)</f>
        <v>0</v>
      </c>
      <c r="D53" s="12">
        <f>ROUND(((D65*D$5*L$1*D$12)*D40)*4,0)</f>
        <v>0</v>
      </c>
      <c r="E53" s="12">
        <f>ROUND(((E65*E$5*E$12)*E40)*4,0)</f>
        <v>0</v>
      </c>
    </row>
    <row r="54" spans="2:5" x14ac:dyDescent="0.25">
      <c r="B54" t="s">
        <v>248</v>
      </c>
      <c r="C54" s="12">
        <f>ROUND(((C66*C$5*I$1*C$12)*C41)*4,0)</f>
        <v>0</v>
      </c>
      <c r="D54" s="12">
        <f>ROUND(((D66*D$5*L$1*D$12)*D41)*4,0)</f>
        <v>0</v>
      </c>
      <c r="E54" s="12">
        <f>ROUND(((E66*E$5*E$12)*E41)*4,0)</f>
        <v>0</v>
      </c>
    </row>
    <row r="56" spans="2:5" x14ac:dyDescent="0.25">
      <c r="B56" s="3" t="s">
        <v>76</v>
      </c>
    </row>
    <row r="57" spans="2:5" x14ac:dyDescent="0.25">
      <c r="B57" t="s">
        <v>72</v>
      </c>
      <c r="C57" s="12">
        <f t="shared" ref="C57:E60" si="3">ROUND(C$61*C8,0)</f>
        <v>0</v>
      </c>
      <c r="D57" s="12">
        <f t="shared" si="3"/>
        <v>0</v>
      </c>
      <c r="E57" s="12">
        <f t="shared" si="3"/>
        <v>0</v>
      </c>
    </row>
    <row r="58" spans="2:5" x14ac:dyDescent="0.25">
      <c r="B58" t="s">
        <v>73</v>
      </c>
      <c r="C58" s="12">
        <f t="shared" si="3"/>
        <v>0</v>
      </c>
      <c r="D58" s="12">
        <f t="shared" si="3"/>
        <v>0</v>
      </c>
      <c r="E58" s="12">
        <f t="shared" si="3"/>
        <v>0</v>
      </c>
    </row>
    <row r="59" spans="2:5" x14ac:dyDescent="0.25">
      <c r="B59" t="s">
        <v>74</v>
      </c>
      <c r="C59" s="12">
        <f t="shared" si="3"/>
        <v>0</v>
      </c>
      <c r="D59" s="12">
        <f t="shared" si="3"/>
        <v>0</v>
      </c>
      <c r="E59" s="12">
        <f t="shared" si="3"/>
        <v>0</v>
      </c>
    </row>
    <row r="60" spans="2:5" x14ac:dyDescent="0.25">
      <c r="B60" t="s">
        <v>75</v>
      </c>
      <c r="C60" s="12">
        <f t="shared" si="3"/>
        <v>0</v>
      </c>
      <c r="D60" s="12">
        <f t="shared" si="3"/>
        <v>0</v>
      </c>
      <c r="E60" s="12">
        <f t="shared" si="3"/>
        <v>0</v>
      </c>
    </row>
    <row r="61" spans="2:5" x14ac:dyDescent="0.25">
      <c r="B61" t="s">
        <v>71</v>
      </c>
      <c r="C61">
        <f>C3*C4*12</f>
        <v>1.2E-5</v>
      </c>
      <c r="D61">
        <f>D3*D4*12</f>
        <v>1.2E-5</v>
      </c>
      <c r="E61">
        <f>E3*E4*12</f>
        <v>1.2E-5</v>
      </c>
    </row>
    <row r="62" spans="2:5" x14ac:dyDescent="0.25">
      <c r="B62" s="7" t="s">
        <v>77</v>
      </c>
    </row>
    <row r="63" spans="2:5" x14ac:dyDescent="0.25">
      <c r="B63" t="s">
        <v>72</v>
      </c>
      <c r="C63" s="12">
        <f t="shared" ref="C63:E65" si="4">(C57*C26)/60</f>
        <v>0</v>
      </c>
      <c r="D63" s="12">
        <f t="shared" si="4"/>
        <v>0</v>
      </c>
      <c r="E63" s="12">
        <f t="shared" si="4"/>
        <v>0</v>
      </c>
    </row>
    <row r="64" spans="2:5" x14ac:dyDescent="0.25">
      <c r="B64" t="s">
        <v>73</v>
      </c>
      <c r="C64" s="12">
        <f t="shared" si="4"/>
        <v>0</v>
      </c>
      <c r="D64" s="12">
        <f t="shared" si="4"/>
        <v>0</v>
      </c>
      <c r="E64" s="12">
        <f t="shared" si="4"/>
        <v>0</v>
      </c>
    </row>
    <row r="65" spans="2:5" x14ac:dyDescent="0.25">
      <c r="B65" t="s">
        <v>74</v>
      </c>
      <c r="C65" s="12">
        <f t="shared" si="4"/>
        <v>0</v>
      </c>
      <c r="D65" s="12">
        <f t="shared" si="4"/>
        <v>0</v>
      </c>
      <c r="E65" s="12">
        <f t="shared" si="4"/>
        <v>0</v>
      </c>
    </row>
    <row r="66" spans="2:5" x14ac:dyDescent="0.25">
      <c r="B66" t="s">
        <v>75</v>
      </c>
      <c r="C66" s="12">
        <f>((C60*C29)/60)</f>
        <v>0</v>
      </c>
      <c r="D66" s="12">
        <f>((D60*D29)/60)</f>
        <v>0</v>
      </c>
      <c r="E66" s="12">
        <f>((E60*E29)/60)</f>
        <v>0</v>
      </c>
    </row>
    <row r="67" spans="2:5" x14ac:dyDescent="0.25">
      <c r="B67" t="s">
        <v>78</v>
      </c>
      <c r="C67" s="13">
        <f>SUM(C63:C66)</f>
        <v>0</v>
      </c>
      <c r="D67" s="13">
        <f>SUM(D63:D66)</f>
        <v>0</v>
      </c>
      <c r="E67" s="13">
        <f>SUM(E63:E66)</f>
        <v>0</v>
      </c>
    </row>
  </sheetData>
  <mergeCells count="5">
    <mergeCell ref="H2:I2"/>
    <mergeCell ref="K2:L2"/>
    <mergeCell ref="N2:O2"/>
    <mergeCell ref="Q2:R2"/>
    <mergeCell ref="B43:E4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167B4-0C48-49CE-99F3-D855F0B95ACF}">
  <dimension ref="A1:R67"/>
  <sheetViews>
    <sheetView workbookViewId="0">
      <selection activeCell="C32" sqref="C32:D32"/>
    </sheetView>
  </sheetViews>
  <sheetFormatPr defaultRowHeight="15" x14ac:dyDescent="0.25"/>
  <cols>
    <col min="1" max="1" width="3.42578125" customWidth="1"/>
    <col min="2" max="2" width="39.28515625" customWidth="1"/>
    <col min="7" max="7" width="22.140625" customWidth="1"/>
    <col min="8" max="9" width="9.5703125" customWidth="1"/>
    <col min="10" max="10" width="3.28515625" customWidth="1"/>
    <col min="13" max="13" width="4" customWidth="1"/>
    <col min="16" max="16" width="6.42578125" customWidth="1"/>
  </cols>
  <sheetData>
    <row r="1" spans="1:18" x14ac:dyDescent="0.25">
      <c r="A1" s="7" t="s">
        <v>158</v>
      </c>
      <c r="C1" s="55" t="s">
        <v>176</v>
      </c>
      <c r="D1" s="55" t="s">
        <v>177</v>
      </c>
      <c r="E1" s="3" t="s">
        <v>42</v>
      </c>
      <c r="I1">
        <v>0.5</v>
      </c>
      <c r="L1">
        <v>0.5</v>
      </c>
    </row>
    <row r="2" spans="1:18" x14ac:dyDescent="0.25">
      <c r="H2" s="80" t="s">
        <v>180</v>
      </c>
      <c r="I2" s="80"/>
      <c r="K2" s="83" t="s">
        <v>181</v>
      </c>
      <c r="L2" s="80"/>
      <c r="N2" s="83" t="s">
        <v>90</v>
      </c>
      <c r="O2" s="80"/>
      <c r="Q2" s="83" t="s">
        <v>42</v>
      </c>
      <c r="R2" s="80"/>
    </row>
    <row r="3" spans="1:18" x14ac:dyDescent="0.25">
      <c r="B3" t="s">
        <v>0</v>
      </c>
      <c r="C3" s="52">
        <v>1E-3</v>
      </c>
      <c r="D3" s="52">
        <v>1E-3</v>
      </c>
      <c r="E3" s="52">
        <v>1E-3</v>
      </c>
      <c r="H3" s="3" t="s">
        <v>12</v>
      </c>
      <c r="I3" s="3" t="s">
        <v>13</v>
      </c>
      <c r="K3" s="3" t="s">
        <v>12</v>
      </c>
      <c r="L3" s="3" t="s">
        <v>13</v>
      </c>
      <c r="Q3" s="3" t="s">
        <v>12</v>
      </c>
      <c r="R3" s="3" t="s">
        <v>13</v>
      </c>
    </row>
    <row r="4" spans="1:18" x14ac:dyDescent="0.25">
      <c r="B4" t="s">
        <v>134</v>
      </c>
      <c r="C4" s="31">
        <v>1E-3</v>
      </c>
      <c r="D4" s="31">
        <v>1E-3</v>
      </c>
      <c r="E4" s="31">
        <v>1E-3</v>
      </c>
      <c r="G4" t="s">
        <v>81</v>
      </c>
      <c r="H4">
        <f>C46</f>
        <v>0</v>
      </c>
      <c r="I4" s="8">
        <f>ROUND((H4*C21)*I1,0)</f>
        <v>0</v>
      </c>
      <c r="K4">
        <f>D46</f>
        <v>0</v>
      </c>
      <c r="L4" s="8">
        <f>ROUND((K4*D21)*L1,0)</f>
        <v>0</v>
      </c>
      <c r="N4">
        <f>O4/C21</f>
        <v>0</v>
      </c>
      <c r="O4" s="8">
        <f>L4+I4</f>
        <v>0</v>
      </c>
      <c r="Q4">
        <f>E46</f>
        <v>0</v>
      </c>
      <c r="R4" s="8">
        <f>ROUND(Q4*E21,0)</f>
        <v>0</v>
      </c>
    </row>
    <row r="5" spans="1:18" x14ac:dyDescent="0.25">
      <c r="B5" t="s">
        <v>84</v>
      </c>
      <c r="C5" s="33">
        <v>1</v>
      </c>
      <c r="D5" s="33">
        <v>1</v>
      </c>
      <c r="E5" s="33">
        <v>1</v>
      </c>
      <c r="G5" t="s">
        <v>14</v>
      </c>
      <c r="H5">
        <f>ROUND(H4/C17,2)</f>
        <v>0</v>
      </c>
      <c r="I5" s="8">
        <f>ROUND((H5*C22)*I1,0)</f>
        <v>0</v>
      </c>
      <c r="K5">
        <f>ROUND(K4/D17,2)</f>
        <v>0</v>
      </c>
      <c r="L5" s="8">
        <f>ROUND((K5*D22)*L1,0)</f>
        <v>0</v>
      </c>
      <c r="N5">
        <f>O5/C22</f>
        <v>0</v>
      </c>
      <c r="O5" s="8">
        <f t="shared" ref="O5:O9" si="0">L5+I5</f>
        <v>0</v>
      </c>
      <c r="Q5">
        <f>ROUND(Q4/E17,2)</f>
        <v>0</v>
      </c>
      <c r="R5" s="8">
        <f>ROUND(Q5*E22,0)</f>
        <v>0</v>
      </c>
    </row>
    <row r="6" spans="1:18" x14ac:dyDescent="0.25">
      <c r="A6" s="43"/>
      <c r="B6" s="43"/>
      <c r="G6" t="s">
        <v>17</v>
      </c>
      <c r="H6">
        <f>C18</f>
        <v>0</v>
      </c>
      <c r="I6" s="8">
        <f>ROUND((H6*C23)*I1,0)</f>
        <v>0</v>
      </c>
      <c r="K6">
        <f>D18</f>
        <v>0</v>
      </c>
      <c r="L6" s="8">
        <f>ROUND(K6*D23*L1,0)</f>
        <v>0</v>
      </c>
      <c r="N6">
        <f>O6/C23</f>
        <v>0</v>
      </c>
      <c r="O6" s="8">
        <f t="shared" si="0"/>
        <v>0</v>
      </c>
      <c r="Q6">
        <f>E18</f>
        <v>0</v>
      </c>
      <c r="R6" s="8">
        <f>ROUND(Q6*E23,0)</f>
        <v>0</v>
      </c>
    </row>
    <row r="7" spans="1:18" x14ac:dyDescent="0.25">
      <c r="A7" s="42"/>
      <c r="B7" s="42" t="s">
        <v>141</v>
      </c>
      <c r="G7" t="s">
        <v>15</v>
      </c>
      <c r="I7" s="8">
        <f>ROUND(SUM(I4:I6)*C19,0)</f>
        <v>0</v>
      </c>
      <c r="L7" s="8">
        <f>ROUND(SUM(L4:L6)*D19,0)</f>
        <v>0</v>
      </c>
      <c r="O7" s="8">
        <f t="shared" si="0"/>
        <v>0</v>
      </c>
      <c r="R7" s="8">
        <f>ROUND(SUM(R4:R6)*E19,0)</f>
        <v>0</v>
      </c>
    </row>
    <row r="8" spans="1:18" x14ac:dyDescent="0.25">
      <c r="B8" t="s">
        <v>182</v>
      </c>
      <c r="C8" s="51"/>
      <c r="D8" s="51"/>
      <c r="E8" s="51"/>
      <c r="G8" t="s">
        <v>19</v>
      </c>
      <c r="I8" s="8">
        <f>SUM(H4:H6)*C20</f>
        <v>0</v>
      </c>
      <c r="L8" s="8">
        <f>SUM(K4:K6)*D20</f>
        <v>0</v>
      </c>
      <c r="O8" s="8">
        <f t="shared" si="0"/>
        <v>0</v>
      </c>
      <c r="R8" s="8">
        <f>SUM(Q4:Q6)*E20</f>
        <v>0</v>
      </c>
    </row>
    <row r="9" spans="1:18" x14ac:dyDescent="0.25">
      <c r="B9" t="s">
        <v>47</v>
      </c>
      <c r="C9" s="51"/>
      <c r="D9" s="51"/>
      <c r="E9" s="51"/>
      <c r="G9" t="s">
        <v>20</v>
      </c>
      <c r="I9" s="8">
        <f>ROUND(SUM(I4:I8)*C24,0)</f>
        <v>0</v>
      </c>
      <c r="L9" s="8">
        <f>ROUND(SUM(L4:L8)*D24,0)</f>
        <v>0</v>
      </c>
      <c r="O9" s="8">
        <f t="shared" si="0"/>
        <v>0</v>
      </c>
      <c r="R9" s="8">
        <f>ROUND(SUM(R4:R8)*E24,0)</f>
        <v>0</v>
      </c>
    </row>
    <row r="10" spans="1:18" ht="15.75" thickBot="1" x14ac:dyDescent="0.3">
      <c r="B10" t="s">
        <v>36</v>
      </c>
      <c r="C10" s="15">
        <v>1E-3</v>
      </c>
      <c r="D10" s="15">
        <v>1E-3</v>
      </c>
      <c r="E10" s="15">
        <v>1E-3</v>
      </c>
      <c r="G10" s="2" t="s">
        <v>22</v>
      </c>
      <c r="I10" s="11">
        <f>SUM(I4:I9)</f>
        <v>0</v>
      </c>
      <c r="L10" s="11">
        <f>SUM(L4:L9)</f>
        <v>0</v>
      </c>
      <c r="O10" s="11">
        <f>SUM(O4:O9)</f>
        <v>0</v>
      </c>
      <c r="R10" s="11">
        <f>SUM(R4:R9)</f>
        <v>0</v>
      </c>
    </row>
    <row r="11" spans="1:18" ht="15.75" thickTop="1" x14ac:dyDescent="0.25">
      <c r="A11" s="36"/>
      <c r="B11" s="36" t="s">
        <v>136</v>
      </c>
      <c r="C11" s="47">
        <f>1-C8-C9-C10</f>
        <v>0.999</v>
      </c>
      <c r="D11" s="47">
        <f>1-D8-D9-D10</f>
        <v>0.999</v>
      </c>
      <c r="E11" s="47">
        <f>1-E8-E9-E10</f>
        <v>0.999</v>
      </c>
    </row>
    <row r="12" spans="1:18" x14ac:dyDescent="0.25">
      <c r="B12" t="s">
        <v>4</v>
      </c>
      <c r="C12" s="15">
        <v>1E-3</v>
      </c>
      <c r="D12" s="15">
        <v>1E-3</v>
      </c>
      <c r="E12" s="15">
        <v>1E-3</v>
      </c>
      <c r="G12" t="s">
        <v>186</v>
      </c>
      <c r="I12">
        <f>C67*I1</f>
        <v>0</v>
      </c>
      <c r="L12">
        <f>ROUND(D67*L1,0)</f>
        <v>0</v>
      </c>
      <c r="O12" s="8">
        <f t="shared" ref="O12" si="1">L12+I12</f>
        <v>0</v>
      </c>
      <c r="R12" s="8">
        <f>ROUND(E67,0)</f>
        <v>0</v>
      </c>
    </row>
    <row r="13" spans="1:18" x14ac:dyDescent="0.25">
      <c r="B13" t="s">
        <v>137</v>
      </c>
      <c r="C13" s="52">
        <v>1E-3</v>
      </c>
      <c r="D13" s="52">
        <v>1E-3</v>
      </c>
      <c r="E13" s="52">
        <v>1E-3</v>
      </c>
    </row>
    <row r="14" spans="1:18" x14ac:dyDescent="0.25">
      <c r="A14" s="48"/>
      <c r="B14" s="48" t="s">
        <v>142</v>
      </c>
      <c r="G14" t="s">
        <v>83</v>
      </c>
      <c r="I14">
        <f>IF(I12&gt;0,ROUND(I10/I12,2),0)</f>
        <v>0</v>
      </c>
      <c r="L14">
        <f>IF(L12&gt;0,ROUND(L10/L12,2),0)</f>
        <v>0</v>
      </c>
      <c r="O14">
        <f>IF(O12&gt;0,ROUND(O10/O12,2),0)</f>
        <v>0</v>
      </c>
      <c r="R14">
        <f>IF(R12&gt;0,ROUND(R10/R12,2),0)</f>
        <v>0</v>
      </c>
    </row>
    <row r="15" spans="1:18" x14ac:dyDescent="0.25">
      <c r="B15" t="s">
        <v>138</v>
      </c>
      <c r="C15" s="31">
        <v>1E-3</v>
      </c>
      <c r="D15" s="31">
        <v>1E-3</v>
      </c>
      <c r="E15" s="31">
        <v>1E-3</v>
      </c>
    </row>
    <row r="16" spans="1:18" x14ac:dyDescent="0.25">
      <c r="B16" t="s">
        <v>139</v>
      </c>
      <c r="C16" s="15">
        <v>1E-3</v>
      </c>
      <c r="D16" s="15">
        <v>1E-3</v>
      </c>
      <c r="E16" s="15">
        <v>1E-3</v>
      </c>
      <c r="G16" t="s">
        <v>87</v>
      </c>
      <c r="I16" s="8">
        <f>SUM(C49:C54)</f>
        <v>0</v>
      </c>
      <c r="J16" s="8"/>
      <c r="K16" s="8"/>
      <c r="L16" s="8">
        <f>SUM(D49:D54)</f>
        <v>0</v>
      </c>
      <c r="M16" s="8"/>
      <c r="N16" s="8"/>
      <c r="O16" s="8">
        <f t="shared" ref="O16:O17" si="2">L16+I16</f>
        <v>0</v>
      </c>
      <c r="P16" s="8"/>
      <c r="Q16" s="8"/>
      <c r="R16" s="8">
        <f>SUM(E49:E54)</f>
        <v>0</v>
      </c>
    </row>
    <row r="17" spans="1:18" x14ac:dyDescent="0.25">
      <c r="B17" t="s">
        <v>82</v>
      </c>
      <c r="C17" s="31">
        <v>1E-3</v>
      </c>
      <c r="D17" s="31">
        <v>1E-3</v>
      </c>
      <c r="E17" s="31">
        <v>1E-3</v>
      </c>
      <c r="G17" t="s">
        <v>88</v>
      </c>
      <c r="I17" s="16"/>
      <c r="J17" s="8"/>
      <c r="K17" s="8"/>
      <c r="L17" s="16"/>
      <c r="M17" s="8"/>
      <c r="N17" s="8"/>
      <c r="O17" s="54">
        <f t="shared" si="2"/>
        <v>0</v>
      </c>
      <c r="P17" s="8"/>
      <c r="Q17" s="8"/>
      <c r="R17" s="16"/>
    </row>
    <row r="18" spans="1:18" x14ac:dyDescent="0.25">
      <c r="B18" t="s">
        <v>175</v>
      </c>
      <c r="C18" s="15">
        <v>0</v>
      </c>
      <c r="D18" s="15">
        <v>0</v>
      </c>
      <c r="E18" s="15">
        <v>0</v>
      </c>
      <c r="G18" t="s">
        <v>89</v>
      </c>
      <c r="I18" s="17">
        <f>SUM(I16:I17)</f>
        <v>0</v>
      </c>
      <c r="L18" s="17">
        <f>SUM(L16:L17)</f>
        <v>0</v>
      </c>
      <c r="O18" s="17">
        <f>SUM(O16:O17)</f>
        <v>0</v>
      </c>
      <c r="R18" s="17">
        <f>SUM(R16:R17)</f>
        <v>0</v>
      </c>
    </row>
    <row r="19" spans="1:18" x14ac:dyDescent="0.25">
      <c r="B19" t="s">
        <v>5</v>
      </c>
      <c r="C19" s="15">
        <v>1E-3</v>
      </c>
      <c r="D19" s="15">
        <v>1E-3</v>
      </c>
      <c r="E19" s="15">
        <v>1E-3</v>
      </c>
    </row>
    <row r="20" spans="1:18" x14ac:dyDescent="0.25">
      <c r="B20" t="s">
        <v>145</v>
      </c>
      <c r="C20" s="16">
        <v>1E-3</v>
      </c>
      <c r="D20" s="16">
        <v>1E-3</v>
      </c>
      <c r="E20" s="16">
        <v>1E-3</v>
      </c>
      <c r="G20" t="s">
        <v>85</v>
      </c>
      <c r="I20">
        <f>IF(I18&gt;0,ROUND(I18/I12,2),0)</f>
        <v>0</v>
      </c>
      <c r="L20">
        <f>IF(L18&gt;0,ROUND(L18/L12,2),0)</f>
        <v>0</v>
      </c>
      <c r="O20">
        <f>IF(O18&gt;0,ROUND(O18/O12,2),0)</f>
        <v>0</v>
      </c>
      <c r="R20">
        <f>IF(R18&gt;0,ROUND(R18/R12,2),0)</f>
        <v>0</v>
      </c>
    </row>
    <row r="21" spans="1:18" x14ac:dyDescent="0.25">
      <c r="B21" t="s">
        <v>10</v>
      </c>
      <c r="C21" s="16">
        <v>1E-3</v>
      </c>
      <c r="D21" s="16">
        <v>1E-3</v>
      </c>
      <c r="E21" s="16">
        <v>1E-3</v>
      </c>
    </row>
    <row r="22" spans="1:18" x14ac:dyDescent="0.25">
      <c r="B22" t="s">
        <v>11</v>
      </c>
      <c r="C22" s="16">
        <v>1E-3</v>
      </c>
      <c r="D22" s="16">
        <v>1E-3</v>
      </c>
      <c r="E22" s="16">
        <v>1E-3</v>
      </c>
      <c r="G22" t="s">
        <v>86</v>
      </c>
      <c r="I22" s="65">
        <f>I16-I10</f>
        <v>0</v>
      </c>
      <c r="J22" s="65"/>
      <c r="K22" s="65"/>
      <c r="L22" s="65">
        <f>L16-L10</f>
        <v>0</v>
      </c>
      <c r="M22" s="65"/>
      <c r="N22" s="65"/>
      <c r="O22" s="65">
        <f>O16-O10</f>
        <v>0</v>
      </c>
      <c r="P22" s="65"/>
      <c r="Q22" s="65"/>
      <c r="R22" s="65">
        <f>R16-R10</f>
        <v>0</v>
      </c>
    </row>
    <row r="23" spans="1:18" x14ac:dyDescent="0.25">
      <c r="B23" t="s">
        <v>18</v>
      </c>
      <c r="C23" s="16">
        <v>1E-3</v>
      </c>
      <c r="D23" s="16">
        <v>1E-3</v>
      </c>
      <c r="E23" s="16">
        <v>1E-3</v>
      </c>
    </row>
    <row r="24" spans="1:18" x14ac:dyDescent="0.25">
      <c r="B24" t="s">
        <v>21</v>
      </c>
      <c r="C24" s="15">
        <v>1E-3</v>
      </c>
      <c r="D24" s="15">
        <v>1E-3</v>
      </c>
      <c r="E24" s="15">
        <v>1E-3</v>
      </c>
    </row>
    <row r="25" spans="1:18" x14ac:dyDescent="0.25">
      <c r="A25" s="42"/>
      <c r="B25" s="42" t="s">
        <v>135</v>
      </c>
      <c r="G25" s="43"/>
      <c r="H25" s="40"/>
      <c r="I25" s="40"/>
      <c r="J25" s="40"/>
      <c r="K25" s="40"/>
    </row>
    <row r="26" spans="1:18" x14ac:dyDescent="0.25">
      <c r="B26" t="s">
        <v>72</v>
      </c>
      <c r="C26" s="51"/>
      <c r="D26" s="51"/>
      <c r="E26" s="51"/>
      <c r="G26" s="43"/>
      <c r="H26" s="40"/>
      <c r="I26" s="40"/>
      <c r="J26" s="40"/>
      <c r="K26" s="40"/>
    </row>
    <row r="27" spans="1:18" x14ac:dyDescent="0.25">
      <c r="B27" t="s">
        <v>73</v>
      </c>
      <c r="C27" s="51"/>
      <c r="D27" s="51"/>
      <c r="E27" s="51"/>
      <c r="G27" s="43"/>
      <c r="K27" s="40"/>
    </row>
    <row r="28" spans="1:18" x14ac:dyDescent="0.25">
      <c r="B28" t="s">
        <v>74</v>
      </c>
      <c r="C28" s="52">
        <v>1E-3</v>
      </c>
      <c r="D28" s="52">
        <v>1E-3</v>
      </c>
      <c r="E28" s="52">
        <v>60</v>
      </c>
      <c r="G28" s="43"/>
      <c r="I28" s="40"/>
      <c r="J28" s="40"/>
      <c r="K28" s="40"/>
    </row>
    <row r="29" spans="1:18" x14ac:dyDescent="0.25">
      <c r="B29" t="s">
        <v>75</v>
      </c>
      <c r="C29" s="52">
        <v>1E-3</v>
      </c>
      <c r="D29" s="52">
        <v>1E-3</v>
      </c>
      <c r="E29" s="52">
        <v>60</v>
      </c>
      <c r="G29" s="43"/>
      <c r="I29" s="40"/>
      <c r="J29" s="40"/>
      <c r="K29" s="40"/>
    </row>
    <row r="30" spans="1:18" x14ac:dyDescent="0.25">
      <c r="A30" s="42"/>
      <c r="B30" s="42" t="s">
        <v>143</v>
      </c>
      <c r="C30" s="52">
        <v>1E-3</v>
      </c>
      <c r="D30" s="52">
        <v>1E-3</v>
      </c>
      <c r="E30" s="52">
        <v>4</v>
      </c>
      <c r="K30" s="40"/>
    </row>
    <row r="31" spans="1:18" x14ac:dyDescent="0.25">
      <c r="K31" s="40"/>
    </row>
    <row r="32" spans="1:18" x14ac:dyDescent="0.25">
      <c r="A32" s="42"/>
      <c r="B32" s="42" t="s">
        <v>132</v>
      </c>
      <c r="C32" s="10" t="s">
        <v>254</v>
      </c>
      <c r="D32" s="85" t="s">
        <v>253</v>
      </c>
    </row>
    <row r="33" spans="2:5" hidden="1" x14ac:dyDescent="0.25">
      <c r="C33" s="14"/>
      <c r="D33" s="5"/>
      <c r="E33" s="5"/>
    </row>
    <row r="34" spans="2:5" x14ac:dyDescent="0.25">
      <c r="B34" t="s">
        <v>151</v>
      </c>
      <c r="C34" s="5">
        <v>18.61</v>
      </c>
      <c r="D34" s="5">
        <v>18.61</v>
      </c>
      <c r="E34" s="5">
        <v>18.61</v>
      </c>
    </row>
    <row r="35" spans="2:5" hidden="1" x14ac:dyDescent="0.25">
      <c r="B35" t="s">
        <v>28</v>
      </c>
      <c r="C35" s="5"/>
      <c r="D35" s="5"/>
      <c r="E35" s="5"/>
    </row>
    <row r="36" spans="2:5" hidden="1" x14ac:dyDescent="0.25">
      <c r="B36" t="s">
        <v>29</v>
      </c>
      <c r="C36" s="5"/>
      <c r="D36" s="5"/>
      <c r="E36" s="5"/>
    </row>
    <row r="37" spans="2:5" hidden="1" x14ac:dyDescent="0.25">
      <c r="B37" t="s">
        <v>30</v>
      </c>
      <c r="C37" s="5"/>
      <c r="D37" s="5"/>
      <c r="E37" s="5"/>
    </row>
    <row r="38" spans="2:5" x14ac:dyDescent="0.25">
      <c r="B38" t="s">
        <v>152</v>
      </c>
      <c r="C38" s="5">
        <v>9</v>
      </c>
      <c r="D38" s="5">
        <v>9</v>
      </c>
      <c r="E38" s="5">
        <v>9</v>
      </c>
    </row>
    <row r="39" spans="2:5" x14ac:dyDescent="0.25">
      <c r="B39" t="s">
        <v>147</v>
      </c>
      <c r="C39" s="5">
        <v>3.29</v>
      </c>
      <c r="D39" s="5">
        <v>3.29</v>
      </c>
      <c r="E39" s="5">
        <v>3.29</v>
      </c>
    </row>
    <row r="40" spans="2:5" hidden="1" x14ac:dyDescent="0.25">
      <c r="B40" t="s">
        <v>148</v>
      </c>
      <c r="C40" s="5">
        <v>2.64</v>
      </c>
      <c r="D40" s="5">
        <v>2.64</v>
      </c>
      <c r="E40" s="5">
        <v>2.64</v>
      </c>
    </row>
    <row r="41" spans="2:5" x14ac:dyDescent="0.25">
      <c r="B41" t="s">
        <v>149</v>
      </c>
      <c r="C41" s="5">
        <v>1.59</v>
      </c>
      <c r="D41" s="5">
        <v>1.59</v>
      </c>
      <c r="E41" s="5">
        <v>1.59</v>
      </c>
    </row>
    <row r="42" spans="2:5" s="50" customFormat="1" x14ac:dyDescent="0.25"/>
    <row r="43" spans="2:5" ht="15.75" x14ac:dyDescent="0.25">
      <c r="B43" s="84" t="s">
        <v>150</v>
      </c>
      <c r="C43" s="84"/>
      <c r="D43" s="84"/>
      <c r="E43" s="84"/>
    </row>
    <row r="44" spans="2:5" x14ac:dyDescent="0.25">
      <c r="B44" t="s">
        <v>79</v>
      </c>
      <c r="C44" s="12">
        <f>(C15*52)</f>
        <v>5.2000000000000005E-2</v>
      </c>
      <c r="D44" s="12">
        <f>(D15*52)</f>
        <v>5.2000000000000005E-2</v>
      </c>
      <c r="E44" s="12">
        <f>(E15*52)</f>
        <v>5.2000000000000005E-2</v>
      </c>
    </row>
    <row r="45" spans="2:5" x14ac:dyDescent="0.25">
      <c r="B45" t="s">
        <v>183</v>
      </c>
      <c r="C45" s="12">
        <f>C44*C16</f>
        <v>5.2000000000000004E-5</v>
      </c>
      <c r="D45" s="12">
        <f>D44*D16</f>
        <v>5.2000000000000004E-5</v>
      </c>
      <c r="E45" s="12">
        <f>E44*E16</f>
        <v>5.2000000000000004E-5</v>
      </c>
    </row>
    <row r="46" spans="2:5" x14ac:dyDescent="0.25">
      <c r="B46" t="s">
        <v>80</v>
      </c>
      <c r="C46" s="12">
        <f>ROUND(C67/C45,2)</f>
        <v>0</v>
      </c>
      <c r="D46" s="12">
        <f>ROUND(D67/D45,2)</f>
        <v>0</v>
      </c>
      <c r="E46" s="12">
        <f>ROUND(E67/E45,2)</f>
        <v>0</v>
      </c>
    </row>
    <row r="47" spans="2:5" x14ac:dyDescent="0.25">
      <c r="C47" s="1"/>
      <c r="D47" s="1"/>
      <c r="E47" s="1"/>
    </row>
    <row r="48" spans="2:5" x14ac:dyDescent="0.25">
      <c r="B48" s="7" t="s">
        <v>52</v>
      </c>
    </row>
    <row r="49" spans="2:5" x14ac:dyDescent="0.25">
      <c r="B49" t="s">
        <v>72</v>
      </c>
      <c r="C49" s="12">
        <f>ROUND(((C63*C5*I1)*C33)*4,0)</f>
        <v>0</v>
      </c>
      <c r="D49" s="12">
        <f>ROUND(((D63*D5*L1)*D33)*4,0)</f>
        <v>0</v>
      </c>
      <c r="E49" s="12">
        <f>ROUND(((E63*E5)*E33)*4,0)</f>
        <v>0</v>
      </c>
    </row>
    <row r="50" spans="2:5" x14ac:dyDescent="0.25">
      <c r="B50" t="s">
        <v>73</v>
      </c>
      <c r="C50" s="12">
        <f>ROUND(((C64*C10*I1)*C35)*4,0)</f>
        <v>0</v>
      </c>
      <c r="D50" s="12">
        <f>ROUND(((D64*D10*L1)*D35)*4,0)</f>
        <v>0</v>
      </c>
      <c r="E50" s="12">
        <f>ROUND(((E64*E10)*E35)*4,0)</f>
        <v>0</v>
      </c>
    </row>
    <row r="51" spans="2:5" x14ac:dyDescent="0.25">
      <c r="B51" t="s">
        <v>74</v>
      </c>
      <c r="C51" s="12">
        <f>ROUND(((C65*C5*I1)*C34)*4,0)</f>
        <v>0</v>
      </c>
      <c r="D51" s="12">
        <f>ROUND(((D65*D5*L1)*D34)*4,0)</f>
        <v>0</v>
      </c>
      <c r="E51" s="12">
        <f>ROUND(((E65*E5)*E34)*4,0)</f>
        <v>0</v>
      </c>
    </row>
    <row r="52" spans="2:5" x14ac:dyDescent="0.25">
      <c r="B52" t="s">
        <v>75</v>
      </c>
      <c r="C52" s="12">
        <f>ROUND((((C66*C30)*I1*C5)*C38)*4,0)</f>
        <v>0</v>
      </c>
      <c r="D52" s="12">
        <f>ROUND((((D66*D30)*L1*D5)*D38)*4,0)</f>
        <v>0</v>
      </c>
      <c r="E52" s="12">
        <f>ROUND((((E66*E30)*E5)*E38)*4,0)</f>
        <v>0</v>
      </c>
    </row>
    <row r="53" spans="2:5" x14ac:dyDescent="0.25">
      <c r="B53" t="s">
        <v>247</v>
      </c>
      <c r="C53" s="12">
        <f>ROUND(((C65*C$5*I$1*C$12)*C40)*4,0)</f>
        <v>0</v>
      </c>
      <c r="D53" s="12">
        <f>ROUND(((D65*D$5*L$1*D$12)*D40)*4,0)</f>
        <v>0</v>
      </c>
      <c r="E53" s="12">
        <f>ROUND(((E65*E$5*E$12)*E40)*4,0)</f>
        <v>0</v>
      </c>
    </row>
    <row r="54" spans="2:5" x14ac:dyDescent="0.25">
      <c r="B54" t="s">
        <v>248</v>
      </c>
      <c r="C54" s="12">
        <f>ROUND(((C66*C$5*I$1*C$12)*C41)*4,0)</f>
        <v>0</v>
      </c>
      <c r="D54" s="12">
        <f>ROUND(((D66*D$5*L$1*D$12)*D41)*4,0)</f>
        <v>0</v>
      </c>
      <c r="E54" s="12">
        <f>ROUND(((E66*E$5*E$12)*E41)*4,0)</f>
        <v>0</v>
      </c>
    </row>
    <row r="56" spans="2:5" x14ac:dyDescent="0.25">
      <c r="B56" s="3" t="s">
        <v>76</v>
      </c>
    </row>
    <row r="57" spans="2:5" x14ac:dyDescent="0.25">
      <c r="B57" t="s">
        <v>72</v>
      </c>
      <c r="C57" s="12">
        <f t="shared" ref="C57:E60" si="3">ROUND(C$61*C8,0)</f>
        <v>0</v>
      </c>
      <c r="D57" s="12">
        <f t="shared" si="3"/>
        <v>0</v>
      </c>
      <c r="E57" s="12">
        <f t="shared" si="3"/>
        <v>0</v>
      </c>
    </row>
    <row r="58" spans="2:5" x14ac:dyDescent="0.25">
      <c r="B58" t="s">
        <v>73</v>
      </c>
      <c r="C58" s="12">
        <f t="shared" si="3"/>
        <v>0</v>
      </c>
      <c r="D58" s="12">
        <f t="shared" si="3"/>
        <v>0</v>
      </c>
      <c r="E58" s="12">
        <f t="shared" si="3"/>
        <v>0</v>
      </c>
    </row>
    <row r="59" spans="2:5" x14ac:dyDescent="0.25">
      <c r="B59" t="s">
        <v>74</v>
      </c>
      <c r="C59" s="12">
        <f t="shared" si="3"/>
        <v>0</v>
      </c>
      <c r="D59" s="12">
        <f t="shared" si="3"/>
        <v>0</v>
      </c>
      <c r="E59" s="12">
        <f t="shared" si="3"/>
        <v>0</v>
      </c>
    </row>
    <row r="60" spans="2:5" x14ac:dyDescent="0.25">
      <c r="B60" t="s">
        <v>75</v>
      </c>
      <c r="C60" s="12">
        <f t="shared" si="3"/>
        <v>0</v>
      </c>
      <c r="D60" s="12">
        <f t="shared" si="3"/>
        <v>0</v>
      </c>
      <c r="E60" s="12">
        <f t="shared" si="3"/>
        <v>0</v>
      </c>
    </row>
    <row r="61" spans="2:5" x14ac:dyDescent="0.25">
      <c r="B61" t="s">
        <v>71</v>
      </c>
      <c r="C61">
        <f>C3*C4*12</f>
        <v>1.2E-5</v>
      </c>
      <c r="D61">
        <f>D3*D4*12</f>
        <v>1.2E-5</v>
      </c>
      <c r="E61">
        <f>E3*E4*12</f>
        <v>1.2E-5</v>
      </c>
    </row>
    <row r="62" spans="2:5" x14ac:dyDescent="0.25">
      <c r="B62" s="7" t="s">
        <v>77</v>
      </c>
    </row>
    <row r="63" spans="2:5" x14ac:dyDescent="0.25">
      <c r="B63" t="s">
        <v>72</v>
      </c>
      <c r="C63" s="12">
        <f t="shared" ref="C63:E65" si="4">(C57*C26)/60</f>
        <v>0</v>
      </c>
      <c r="D63" s="12">
        <f t="shared" si="4"/>
        <v>0</v>
      </c>
      <c r="E63" s="12">
        <f t="shared" si="4"/>
        <v>0</v>
      </c>
    </row>
    <row r="64" spans="2:5" x14ac:dyDescent="0.25">
      <c r="B64" t="s">
        <v>73</v>
      </c>
      <c r="C64" s="12">
        <f t="shared" si="4"/>
        <v>0</v>
      </c>
      <c r="D64" s="12">
        <f t="shared" si="4"/>
        <v>0</v>
      </c>
      <c r="E64" s="12">
        <f t="shared" si="4"/>
        <v>0</v>
      </c>
    </row>
    <row r="65" spans="2:5" x14ac:dyDescent="0.25">
      <c r="B65" t="s">
        <v>74</v>
      </c>
      <c r="C65" s="12">
        <f t="shared" si="4"/>
        <v>0</v>
      </c>
      <c r="D65" s="12">
        <f t="shared" si="4"/>
        <v>0</v>
      </c>
      <c r="E65" s="12">
        <f t="shared" si="4"/>
        <v>0</v>
      </c>
    </row>
    <row r="66" spans="2:5" x14ac:dyDescent="0.25">
      <c r="B66" t="s">
        <v>75</v>
      </c>
      <c r="C66" s="12">
        <f>((C60*C29)/60)</f>
        <v>0</v>
      </c>
      <c r="D66" s="12">
        <f>((D60*D29)/60)</f>
        <v>0</v>
      </c>
      <c r="E66" s="12">
        <f>((E60*E29)/60)</f>
        <v>0</v>
      </c>
    </row>
    <row r="67" spans="2:5" x14ac:dyDescent="0.25">
      <c r="B67" t="s">
        <v>78</v>
      </c>
      <c r="C67" s="13">
        <f>SUM(C63:C66)</f>
        <v>0</v>
      </c>
      <c r="D67" s="13">
        <f>SUM(D63:D66)</f>
        <v>0</v>
      </c>
      <c r="E67" s="13">
        <f>SUM(E63:E66)</f>
        <v>0</v>
      </c>
    </row>
  </sheetData>
  <mergeCells count="5">
    <mergeCell ref="H2:I2"/>
    <mergeCell ref="K2:L2"/>
    <mergeCell ref="N2:O2"/>
    <mergeCell ref="Q2:R2"/>
    <mergeCell ref="B43:E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80B8-02A3-470F-ABB2-19AC9402446A}">
  <dimension ref="A1:R67"/>
  <sheetViews>
    <sheetView zoomScaleNormal="100" workbookViewId="0">
      <selection activeCell="C32" sqref="C32:E41"/>
    </sheetView>
  </sheetViews>
  <sheetFormatPr defaultRowHeight="15" x14ac:dyDescent="0.25"/>
  <cols>
    <col min="1" max="1" width="3.42578125" customWidth="1"/>
    <col min="2" max="2" width="39.28515625" customWidth="1"/>
    <col min="3" max="4" width="9.140625" customWidth="1"/>
    <col min="7" max="7" width="22.140625" customWidth="1"/>
    <col min="8" max="9" width="9.5703125" customWidth="1"/>
    <col min="10" max="10" width="3.28515625" customWidth="1"/>
    <col min="11" max="12" width="9.140625" customWidth="1"/>
    <col min="13" max="13" width="4" customWidth="1"/>
    <col min="14" max="15" width="9.140625" customWidth="1"/>
    <col min="16" max="16" width="6.42578125" customWidth="1"/>
    <col min="21" max="21" width="11" bestFit="1" customWidth="1"/>
  </cols>
  <sheetData>
    <row r="1" spans="1:18" x14ac:dyDescent="0.25">
      <c r="A1" s="7" t="s">
        <v>205</v>
      </c>
      <c r="C1" s="55" t="s">
        <v>176</v>
      </c>
      <c r="D1" s="55" t="s">
        <v>177</v>
      </c>
      <c r="E1" s="3" t="s">
        <v>42</v>
      </c>
      <c r="I1">
        <v>0.5</v>
      </c>
      <c r="L1">
        <v>0.5</v>
      </c>
    </row>
    <row r="2" spans="1:18" x14ac:dyDescent="0.25">
      <c r="H2" s="80" t="s">
        <v>180</v>
      </c>
      <c r="I2" s="80"/>
      <c r="K2" s="83" t="s">
        <v>181</v>
      </c>
      <c r="L2" s="80"/>
      <c r="N2" s="83" t="s">
        <v>90</v>
      </c>
      <c r="O2" s="80"/>
      <c r="Q2" s="83" t="s">
        <v>42</v>
      </c>
      <c r="R2" s="80"/>
    </row>
    <row r="3" spans="1:18" x14ac:dyDescent="0.25">
      <c r="B3" t="s">
        <v>0</v>
      </c>
      <c r="C3" s="52">
        <v>1E-3</v>
      </c>
      <c r="D3" s="52">
        <v>1E-3</v>
      </c>
      <c r="E3" s="52">
        <v>1E-3</v>
      </c>
      <c r="H3" s="3" t="s">
        <v>12</v>
      </c>
      <c r="I3" s="3" t="s">
        <v>13</v>
      </c>
      <c r="K3" s="3" t="s">
        <v>12</v>
      </c>
      <c r="L3" s="3" t="s">
        <v>13</v>
      </c>
      <c r="Q3" s="3" t="s">
        <v>12</v>
      </c>
      <c r="R3" s="3" t="s">
        <v>13</v>
      </c>
    </row>
    <row r="4" spans="1:18" x14ac:dyDescent="0.25">
      <c r="B4" t="s">
        <v>134</v>
      </c>
      <c r="C4" s="31">
        <v>1E-3</v>
      </c>
      <c r="D4" s="31">
        <v>1E-3</v>
      </c>
      <c r="E4" s="31">
        <v>1E-3</v>
      </c>
      <c r="G4" t="s">
        <v>81</v>
      </c>
      <c r="H4">
        <f>C46</f>
        <v>0</v>
      </c>
      <c r="I4" s="8">
        <f>ROUND((H4*C21)*I1,0)</f>
        <v>0</v>
      </c>
      <c r="K4">
        <f>D46</f>
        <v>0</v>
      </c>
      <c r="L4" s="8">
        <f>ROUND((K4*D21)*L1,0)</f>
        <v>0</v>
      </c>
      <c r="N4">
        <f>O4/C21</f>
        <v>0</v>
      </c>
      <c r="O4" s="8">
        <f>L4+I4</f>
        <v>0</v>
      </c>
      <c r="Q4">
        <f>E46</f>
        <v>0</v>
      </c>
      <c r="R4" s="8">
        <f>ROUND(Q4*E21,0)</f>
        <v>0</v>
      </c>
    </row>
    <row r="5" spans="1:18" x14ac:dyDescent="0.25">
      <c r="B5" t="s">
        <v>84</v>
      </c>
      <c r="C5" s="33">
        <v>1</v>
      </c>
      <c r="D5" s="33">
        <v>1</v>
      </c>
      <c r="E5" s="33">
        <v>1</v>
      </c>
      <c r="G5" t="s">
        <v>14</v>
      </c>
      <c r="H5">
        <f>ROUND(H4/C17,2)</f>
        <v>0</v>
      </c>
      <c r="I5" s="8">
        <f>ROUND((H5*C22)*I1,0)</f>
        <v>0</v>
      </c>
      <c r="K5">
        <f>ROUND(K4/D17,2)</f>
        <v>0</v>
      </c>
      <c r="L5" s="8">
        <f>ROUND((K5*D22)*L1,0)</f>
        <v>0</v>
      </c>
      <c r="N5">
        <f>O5/C22</f>
        <v>0</v>
      </c>
      <c r="O5" s="8">
        <f t="shared" ref="O5:O9" si="0">L5+I5</f>
        <v>0</v>
      </c>
      <c r="Q5">
        <f>ROUND(Q4/E17,2)</f>
        <v>0</v>
      </c>
      <c r="R5" s="8">
        <f>ROUND(Q5*E22,0)</f>
        <v>0</v>
      </c>
    </row>
    <row r="6" spans="1:18" x14ac:dyDescent="0.25">
      <c r="A6" s="43"/>
      <c r="B6" s="43"/>
      <c r="G6" t="s">
        <v>17</v>
      </c>
      <c r="H6">
        <f>C18</f>
        <v>0</v>
      </c>
      <c r="I6" s="8">
        <f>ROUND((H6*C23)*I1,0)</f>
        <v>0</v>
      </c>
      <c r="K6">
        <f>D18</f>
        <v>0</v>
      </c>
      <c r="L6" s="8">
        <f>ROUND(K6*D23*L1,0)</f>
        <v>0</v>
      </c>
      <c r="N6">
        <f>O6/C23</f>
        <v>0</v>
      </c>
      <c r="O6" s="8">
        <f t="shared" si="0"/>
        <v>0</v>
      </c>
      <c r="Q6">
        <f>E18</f>
        <v>0</v>
      </c>
      <c r="R6" s="8">
        <f>ROUND(Q6*E23,0)</f>
        <v>0</v>
      </c>
    </row>
    <row r="7" spans="1:18" x14ac:dyDescent="0.25">
      <c r="A7" s="42"/>
      <c r="B7" s="42" t="s">
        <v>141</v>
      </c>
      <c r="G7" t="s">
        <v>15</v>
      </c>
      <c r="I7" s="8">
        <f>ROUND(SUM(I4:I6)*C19,0)</f>
        <v>0</v>
      </c>
      <c r="L7" s="8">
        <f>ROUND(SUM(L4:L6)*D19,0)</f>
        <v>0</v>
      </c>
      <c r="O7" s="8">
        <f t="shared" si="0"/>
        <v>0</v>
      </c>
      <c r="R7" s="8">
        <f>ROUND(SUM(R4:R6)*E19,0)</f>
        <v>0</v>
      </c>
    </row>
    <row r="8" spans="1:18" x14ac:dyDescent="0.25">
      <c r="B8" t="s">
        <v>182</v>
      </c>
      <c r="C8" s="51"/>
      <c r="D8" s="51"/>
      <c r="E8" s="51"/>
      <c r="G8" t="s">
        <v>19</v>
      </c>
      <c r="I8" s="8">
        <f>SUM(H4:H6)*C20</f>
        <v>0</v>
      </c>
      <c r="L8" s="8">
        <f>SUM(K4:K6)*D20</f>
        <v>0</v>
      </c>
      <c r="O8" s="8">
        <f t="shared" si="0"/>
        <v>0</v>
      </c>
      <c r="R8" s="8">
        <f>SUM(Q4:Q6)*E20</f>
        <v>0</v>
      </c>
    </row>
    <row r="9" spans="1:18" x14ac:dyDescent="0.25">
      <c r="B9" t="s">
        <v>47</v>
      </c>
      <c r="C9" s="51"/>
      <c r="D9" s="51"/>
      <c r="E9" s="51"/>
      <c r="G9" t="s">
        <v>20</v>
      </c>
      <c r="I9" s="8">
        <f>ROUND(SUM(I4:I8)*C24,0)</f>
        <v>0</v>
      </c>
      <c r="L9" s="8">
        <f>ROUND(SUM(L4:L8)*D24,0)</f>
        <v>0</v>
      </c>
      <c r="O9" s="8">
        <f t="shared" si="0"/>
        <v>0</v>
      </c>
      <c r="R9" s="8">
        <f>ROUND(SUM(R4:R8)*E24,0)</f>
        <v>0</v>
      </c>
    </row>
    <row r="10" spans="1:18" ht="15.75" thickBot="1" x14ac:dyDescent="0.3">
      <c r="B10" t="s">
        <v>36</v>
      </c>
      <c r="C10" s="15">
        <v>1E-3</v>
      </c>
      <c r="D10" s="15">
        <v>1E-3</v>
      </c>
      <c r="E10" s="15">
        <v>1E-3</v>
      </c>
      <c r="G10" s="2" t="s">
        <v>22</v>
      </c>
      <c r="I10" s="11">
        <f>SUM(I4:I9)</f>
        <v>0</v>
      </c>
      <c r="L10" s="11">
        <f>SUM(L4:L9)</f>
        <v>0</v>
      </c>
      <c r="O10" s="11">
        <f>SUM(O4:O9)</f>
        <v>0</v>
      </c>
      <c r="R10" s="11">
        <f>SUM(R4:R9)</f>
        <v>0</v>
      </c>
    </row>
    <row r="11" spans="1:18" ht="15.75" thickTop="1" x14ac:dyDescent="0.25">
      <c r="A11" s="36"/>
      <c r="B11" s="66" t="s">
        <v>136</v>
      </c>
      <c r="C11" s="47">
        <f>1-C8-C9-C10</f>
        <v>0.999</v>
      </c>
      <c r="D11" s="47">
        <f>1-D8-D9-D10</f>
        <v>0.999</v>
      </c>
      <c r="E11" s="47">
        <f>1-E8-E9-E10</f>
        <v>0.999</v>
      </c>
    </row>
    <row r="12" spans="1:18" x14ac:dyDescent="0.25">
      <c r="B12" t="s">
        <v>4</v>
      </c>
      <c r="C12" s="15">
        <v>1E-3</v>
      </c>
      <c r="D12" s="15">
        <v>1E-3</v>
      </c>
      <c r="E12" s="15">
        <v>1E-3</v>
      </c>
      <c r="G12" t="s">
        <v>186</v>
      </c>
      <c r="I12">
        <f>C67*I1</f>
        <v>0</v>
      </c>
      <c r="L12">
        <f>ROUND(D67*L1,0)</f>
        <v>0</v>
      </c>
      <c r="O12" s="8">
        <f t="shared" ref="O12" si="1">L12+I12</f>
        <v>0</v>
      </c>
      <c r="R12" s="8">
        <f>ROUND(E67,0)</f>
        <v>0</v>
      </c>
    </row>
    <row r="13" spans="1:18" x14ac:dyDescent="0.25">
      <c r="B13" t="s">
        <v>137</v>
      </c>
      <c r="C13" s="52">
        <v>1E-3</v>
      </c>
      <c r="D13" s="52">
        <v>1E-3</v>
      </c>
      <c r="E13" s="52">
        <v>1E-3</v>
      </c>
    </row>
    <row r="14" spans="1:18" x14ac:dyDescent="0.25">
      <c r="A14" s="48"/>
      <c r="B14" s="48" t="s">
        <v>142</v>
      </c>
      <c r="G14" t="s">
        <v>83</v>
      </c>
      <c r="I14">
        <f>IF(I12&gt;0,ROUND(I10/I12,2),0)</f>
        <v>0</v>
      </c>
      <c r="L14">
        <f>IF(L12&gt;0,ROUND(L10/L12,2),0)</f>
        <v>0</v>
      </c>
      <c r="O14">
        <f>IF(O12&gt;0,ROUND(O10/O12,2),0)</f>
        <v>0</v>
      </c>
      <c r="R14">
        <f>IF(R12&gt;0,ROUND(R10/R12,2),0)</f>
        <v>0</v>
      </c>
    </row>
    <row r="15" spans="1:18" x14ac:dyDescent="0.25">
      <c r="B15" t="s">
        <v>138</v>
      </c>
      <c r="C15" s="31">
        <v>1E-3</v>
      </c>
      <c r="D15" s="31">
        <v>1E-3</v>
      </c>
      <c r="E15" s="31">
        <v>1E-3</v>
      </c>
    </row>
    <row r="16" spans="1:18" x14ac:dyDescent="0.25">
      <c r="B16" s="67" t="s">
        <v>139</v>
      </c>
      <c r="C16" s="15">
        <v>1E-3</v>
      </c>
      <c r="D16" s="15">
        <v>1E-3</v>
      </c>
      <c r="E16" s="15">
        <v>1E-3</v>
      </c>
      <c r="G16" t="s">
        <v>87</v>
      </c>
      <c r="I16" s="8">
        <f>SUM(C49:C54)</f>
        <v>0</v>
      </c>
      <c r="J16" s="8"/>
      <c r="K16" s="8"/>
      <c r="L16" s="8">
        <f>SUM(D49:D54)</f>
        <v>0</v>
      </c>
      <c r="M16" s="8"/>
      <c r="N16" s="8"/>
      <c r="O16" s="8">
        <f t="shared" ref="O16:O17" si="2">L16+I16</f>
        <v>0</v>
      </c>
      <c r="P16" s="8"/>
      <c r="Q16" s="8"/>
      <c r="R16" s="8">
        <f>SUM(E49:E54)</f>
        <v>0</v>
      </c>
    </row>
    <row r="17" spans="1:18" x14ac:dyDescent="0.25">
      <c r="B17" t="s">
        <v>82</v>
      </c>
      <c r="C17" s="31">
        <v>1E-3</v>
      </c>
      <c r="D17" s="31">
        <v>1E-3</v>
      </c>
      <c r="E17" s="31">
        <v>1E-3</v>
      </c>
      <c r="G17" t="s">
        <v>88</v>
      </c>
      <c r="I17" s="16"/>
      <c r="J17" s="8"/>
      <c r="K17" s="8"/>
      <c r="L17" s="16"/>
      <c r="M17" s="8"/>
      <c r="N17" s="8"/>
      <c r="O17" s="54">
        <f t="shared" si="2"/>
        <v>0</v>
      </c>
      <c r="P17" s="8"/>
      <c r="Q17" s="8"/>
      <c r="R17" s="16"/>
    </row>
    <row r="18" spans="1:18" x14ac:dyDescent="0.25">
      <c r="B18" t="s">
        <v>175</v>
      </c>
      <c r="C18" s="15">
        <v>0</v>
      </c>
      <c r="D18" s="15">
        <v>0</v>
      </c>
      <c r="E18" s="15">
        <v>0</v>
      </c>
      <c r="G18" t="s">
        <v>89</v>
      </c>
      <c r="I18" s="17">
        <f>SUM(I16:I17)</f>
        <v>0</v>
      </c>
      <c r="L18" s="17">
        <f>SUM(L16:L17)</f>
        <v>0</v>
      </c>
      <c r="O18" s="17">
        <f>SUM(O16:O17)</f>
        <v>0</v>
      </c>
      <c r="R18" s="17">
        <f>SUM(R16:R17)</f>
        <v>0</v>
      </c>
    </row>
    <row r="19" spans="1:18" x14ac:dyDescent="0.25">
      <c r="B19" t="s">
        <v>5</v>
      </c>
      <c r="C19" s="15">
        <v>1E-3</v>
      </c>
      <c r="D19" s="15">
        <v>1E-3</v>
      </c>
      <c r="E19" s="15">
        <v>1E-3</v>
      </c>
    </row>
    <row r="20" spans="1:18" x14ac:dyDescent="0.25">
      <c r="B20" t="s">
        <v>145</v>
      </c>
      <c r="C20" s="16">
        <v>1E-3</v>
      </c>
      <c r="D20" s="16">
        <v>1E-3</v>
      </c>
      <c r="E20" s="16">
        <v>1E-3</v>
      </c>
      <c r="G20" t="s">
        <v>85</v>
      </c>
      <c r="I20">
        <f>IF(I18&gt;0,ROUND(I18/I12,2),0)</f>
        <v>0</v>
      </c>
      <c r="L20">
        <f>IF(L18&gt;0,ROUND(L18/L12,2),0)</f>
        <v>0</v>
      </c>
      <c r="O20">
        <f>IF(O18&gt;0,ROUND(O18/O12,2),0)</f>
        <v>0</v>
      </c>
      <c r="R20">
        <f>IF(R18&gt;0,ROUND(R18/R12,2),0)</f>
        <v>0</v>
      </c>
    </row>
    <row r="21" spans="1:18" x14ac:dyDescent="0.25">
      <c r="B21" t="s">
        <v>10</v>
      </c>
      <c r="C21" s="16">
        <v>1E-3</v>
      </c>
      <c r="D21" s="16">
        <v>1E-3</v>
      </c>
      <c r="E21" s="16">
        <v>1E-3</v>
      </c>
    </row>
    <row r="22" spans="1:18" x14ac:dyDescent="0.25">
      <c r="B22" t="s">
        <v>11</v>
      </c>
      <c r="C22" s="16">
        <v>1E-3</v>
      </c>
      <c r="D22" s="16">
        <v>1E-3</v>
      </c>
      <c r="E22" s="16">
        <v>1E-3</v>
      </c>
      <c r="G22" t="s">
        <v>86</v>
      </c>
      <c r="I22" s="65">
        <f>I16-I10</f>
        <v>0</v>
      </c>
      <c r="J22" s="65"/>
      <c r="K22" s="65"/>
      <c r="L22" s="65">
        <f>L16-L10</f>
        <v>0</v>
      </c>
      <c r="M22" s="65"/>
      <c r="N22" s="65"/>
      <c r="O22" s="65">
        <f>O16-O10</f>
        <v>0</v>
      </c>
      <c r="P22" s="65"/>
      <c r="Q22" s="65"/>
      <c r="R22" s="65">
        <f>R16-R10</f>
        <v>0</v>
      </c>
    </row>
    <row r="23" spans="1:18" x14ac:dyDescent="0.25">
      <c r="B23" t="s">
        <v>18</v>
      </c>
      <c r="C23" s="16">
        <v>1E-3</v>
      </c>
      <c r="D23" s="16">
        <v>1E-3</v>
      </c>
      <c r="E23" s="16">
        <v>1E-3</v>
      </c>
    </row>
    <row r="24" spans="1:18" x14ac:dyDescent="0.25">
      <c r="B24" t="s">
        <v>21</v>
      </c>
      <c r="C24" s="15">
        <v>1E-3</v>
      </c>
      <c r="D24" s="15">
        <v>1E-3</v>
      </c>
      <c r="E24" s="15">
        <v>1E-3</v>
      </c>
      <c r="K24" s="40"/>
    </row>
    <row r="25" spans="1:18" x14ac:dyDescent="0.25">
      <c r="A25" s="42"/>
      <c r="B25" s="42" t="s">
        <v>135</v>
      </c>
      <c r="G25" s="43"/>
      <c r="H25" s="40"/>
      <c r="I25" s="40"/>
      <c r="J25" s="40"/>
      <c r="K25" s="40"/>
    </row>
    <row r="26" spans="1:18" x14ac:dyDescent="0.25">
      <c r="B26" t="s">
        <v>72</v>
      </c>
      <c r="C26" s="51"/>
      <c r="D26" s="51"/>
      <c r="E26" s="51"/>
      <c r="G26" s="43"/>
      <c r="H26" s="40"/>
      <c r="I26" s="40"/>
      <c r="J26" s="40"/>
      <c r="K26" s="40"/>
    </row>
    <row r="27" spans="1:18" x14ac:dyDescent="0.25">
      <c r="B27" t="s">
        <v>73</v>
      </c>
      <c r="C27" s="51"/>
      <c r="D27" s="51"/>
      <c r="E27" s="51"/>
      <c r="G27" s="43"/>
      <c r="K27" s="40"/>
    </row>
    <row r="28" spans="1:18" x14ac:dyDescent="0.25">
      <c r="B28" t="s">
        <v>74</v>
      </c>
      <c r="C28" s="52">
        <v>1E-3</v>
      </c>
      <c r="D28" s="52">
        <v>1E-3</v>
      </c>
      <c r="E28" s="52">
        <v>1E-3</v>
      </c>
      <c r="G28" s="43"/>
      <c r="I28" s="40"/>
      <c r="J28" s="40"/>
      <c r="K28" s="40"/>
    </row>
    <row r="29" spans="1:18" x14ac:dyDescent="0.25">
      <c r="B29" t="s">
        <v>75</v>
      </c>
      <c r="C29" s="52">
        <v>1E-3</v>
      </c>
      <c r="D29" s="52">
        <v>1E-3</v>
      </c>
      <c r="E29" s="52">
        <v>1E-3</v>
      </c>
      <c r="G29" s="43"/>
      <c r="I29" s="40"/>
      <c r="J29" s="40"/>
      <c r="K29" s="40"/>
    </row>
    <row r="30" spans="1:18" x14ac:dyDescent="0.25">
      <c r="A30" s="42"/>
      <c r="B30" s="68" t="s">
        <v>143</v>
      </c>
      <c r="C30" s="52">
        <v>1E-3</v>
      </c>
      <c r="D30" s="52">
        <v>1E-3</v>
      </c>
      <c r="E30" s="52">
        <v>1E-3</v>
      </c>
      <c r="K30" s="40"/>
    </row>
    <row r="31" spans="1:18" x14ac:dyDescent="0.25">
      <c r="K31" s="40"/>
    </row>
    <row r="32" spans="1:18" x14ac:dyDescent="0.25">
      <c r="A32" s="42"/>
      <c r="B32" s="42" t="s">
        <v>132</v>
      </c>
      <c r="C32" s="10" t="s">
        <v>254</v>
      </c>
      <c r="D32" s="85" t="s">
        <v>255</v>
      </c>
    </row>
    <row r="33" spans="2:5" hidden="1" x14ac:dyDescent="0.25">
      <c r="C33" s="14"/>
      <c r="D33" s="5"/>
      <c r="E33" s="5"/>
    </row>
    <row r="34" spans="2:5" x14ac:dyDescent="0.25">
      <c r="B34" t="s">
        <v>153</v>
      </c>
      <c r="C34" s="5">
        <v>16.29</v>
      </c>
      <c r="D34" s="5">
        <v>16.29</v>
      </c>
      <c r="E34" s="5">
        <v>16.29</v>
      </c>
    </row>
    <row r="35" spans="2:5" hidden="1" x14ac:dyDescent="0.25">
      <c r="B35" t="s">
        <v>28</v>
      </c>
      <c r="C35" s="5"/>
      <c r="D35" s="5"/>
      <c r="E35" s="5"/>
    </row>
    <row r="36" spans="2:5" hidden="1" x14ac:dyDescent="0.25">
      <c r="B36" t="s">
        <v>29</v>
      </c>
      <c r="C36" s="5"/>
      <c r="D36" s="5"/>
      <c r="E36" s="5"/>
    </row>
    <row r="37" spans="2:5" hidden="1" x14ac:dyDescent="0.25">
      <c r="B37" t="s">
        <v>30</v>
      </c>
      <c r="C37" s="5"/>
      <c r="D37" s="5"/>
      <c r="E37" s="5"/>
    </row>
    <row r="38" spans="2:5" x14ac:dyDescent="0.25">
      <c r="B38" t="s">
        <v>154</v>
      </c>
      <c r="C38" s="5">
        <v>7.87</v>
      </c>
      <c r="D38" s="5">
        <v>7.87</v>
      </c>
      <c r="E38" s="5">
        <v>7.87</v>
      </c>
    </row>
    <row r="39" spans="2:5" x14ac:dyDescent="0.25">
      <c r="B39" t="s">
        <v>155</v>
      </c>
      <c r="C39" s="5">
        <v>2.88</v>
      </c>
      <c r="D39" s="5">
        <v>2.88</v>
      </c>
      <c r="E39" s="5">
        <v>2.88</v>
      </c>
    </row>
    <row r="40" spans="2:5" hidden="1" x14ac:dyDescent="0.25">
      <c r="B40" t="s">
        <v>148</v>
      </c>
      <c r="C40" s="5">
        <v>2.64</v>
      </c>
      <c r="D40" s="5">
        <v>2.64</v>
      </c>
      <c r="E40" s="5">
        <v>2.64</v>
      </c>
    </row>
    <row r="41" spans="2:5" x14ac:dyDescent="0.25">
      <c r="B41" t="s">
        <v>156</v>
      </c>
      <c r="C41" s="5">
        <v>1.39</v>
      </c>
      <c r="D41" s="5">
        <v>1.39</v>
      </c>
      <c r="E41" s="5">
        <v>1.39</v>
      </c>
    </row>
    <row r="42" spans="2:5" s="50" customFormat="1" x14ac:dyDescent="0.25"/>
    <row r="43" spans="2:5" ht="15.75" x14ac:dyDescent="0.25">
      <c r="B43" s="84" t="s">
        <v>150</v>
      </c>
      <c r="C43" s="84"/>
      <c r="D43" s="84"/>
      <c r="E43" s="84"/>
    </row>
    <row r="44" spans="2:5" x14ac:dyDescent="0.25">
      <c r="B44" t="s">
        <v>79</v>
      </c>
      <c r="C44" s="12">
        <f>(C15*52)</f>
        <v>5.2000000000000005E-2</v>
      </c>
      <c r="D44" s="12">
        <f>(D15*52)</f>
        <v>5.2000000000000005E-2</v>
      </c>
      <c r="E44" s="12">
        <f>(E15*52)</f>
        <v>5.2000000000000005E-2</v>
      </c>
    </row>
    <row r="45" spans="2:5" x14ac:dyDescent="0.25">
      <c r="B45" t="s">
        <v>183</v>
      </c>
      <c r="C45" s="12">
        <f>C44*C16</f>
        <v>5.2000000000000004E-5</v>
      </c>
      <c r="D45" s="12">
        <f>D44*D16</f>
        <v>5.2000000000000004E-5</v>
      </c>
      <c r="E45" s="12">
        <f>E44*E16</f>
        <v>5.2000000000000004E-5</v>
      </c>
    </row>
    <row r="46" spans="2:5" x14ac:dyDescent="0.25">
      <c r="B46" t="s">
        <v>80</v>
      </c>
      <c r="C46" s="12">
        <f>ROUND(C67/C45,2)</f>
        <v>0</v>
      </c>
      <c r="D46" s="12">
        <f>ROUND(D67/D45,2)</f>
        <v>0</v>
      </c>
      <c r="E46" s="12">
        <f>ROUND(E67/E45,2)</f>
        <v>0</v>
      </c>
    </row>
    <row r="47" spans="2:5" x14ac:dyDescent="0.25">
      <c r="C47" s="1"/>
      <c r="D47" s="1"/>
      <c r="E47" s="1"/>
    </row>
    <row r="48" spans="2:5" x14ac:dyDescent="0.25">
      <c r="B48" s="7" t="s">
        <v>52</v>
      </c>
    </row>
    <row r="49" spans="2:5" x14ac:dyDescent="0.25">
      <c r="B49" t="s">
        <v>72</v>
      </c>
      <c r="C49" s="12">
        <f>ROUND(((C63*C5*I1)*C33)*4,0)</f>
        <v>0</v>
      </c>
      <c r="D49" s="12">
        <f>ROUND(((D63*D5*L1)*D33)*4,0)</f>
        <v>0</v>
      </c>
      <c r="E49" s="12">
        <f>ROUND(((E63*E5)*E33)*4,0)</f>
        <v>0</v>
      </c>
    </row>
    <row r="50" spans="2:5" x14ac:dyDescent="0.25">
      <c r="B50" t="s">
        <v>73</v>
      </c>
      <c r="C50" s="12">
        <f>ROUND(((C64*C10*I1)*C35)*4,0)</f>
        <v>0</v>
      </c>
      <c r="D50" s="12">
        <f>ROUND(((D64*D10*L1)*D35)*4,0)</f>
        <v>0</v>
      </c>
      <c r="E50" s="12">
        <f>ROUND(((E64*E10)*E35)*4,0)</f>
        <v>0</v>
      </c>
    </row>
    <row r="51" spans="2:5" x14ac:dyDescent="0.25">
      <c r="B51" t="s">
        <v>74</v>
      </c>
      <c r="C51" s="12">
        <f>ROUND(((C65*C5*I1)*C34)*4,0)</f>
        <v>0</v>
      </c>
      <c r="D51" s="12">
        <f>ROUND(((D65*D5*L1)*D34)*4,0)</f>
        <v>0</v>
      </c>
      <c r="E51" s="12">
        <f>ROUND(((E65*E5)*E34)*4,0)</f>
        <v>0</v>
      </c>
    </row>
    <row r="52" spans="2:5" x14ac:dyDescent="0.25">
      <c r="B52" t="s">
        <v>75</v>
      </c>
      <c r="C52" s="12">
        <f>ROUND((((C66*C30)*I1*C5)*C38)*4,0)</f>
        <v>0</v>
      </c>
      <c r="D52" s="12">
        <f>ROUND((((D66*D30)*L1*D5)*D38)*4,0)</f>
        <v>0</v>
      </c>
      <c r="E52" s="12">
        <f>ROUND((((E66*E30)*E5)*E38)*4,0)</f>
        <v>0</v>
      </c>
    </row>
    <row r="53" spans="2:5" x14ac:dyDescent="0.25">
      <c r="B53" t="s">
        <v>247</v>
      </c>
      <c r="C53" s="12">
        <f>ROUND(((C65*C$5*I$1*C$12)*C40)*4,0)</f>
        <v>0</v>
      </c>
      <c r="D53" s="12">
        <f>ROUND(((D65*D$5*L$1*D$12)*D40)*4,0)</f>
        <v>0</v>
      </c>
      <c r="E53" s="12">
        <f>ROUND(((E65*E$5*E$12)*E40)*4,0)</f>
        <v>0</v>
      </c>
    </row>
    <row r="54" spans="2:5" x14ac:dyDescent="0.25">
      <c r="B54" t="s">
        <v>248</v>
      </c>
      <c r="C54" s="12">
        <f>ROUND(((C66*C$5*I$1*C$12)*C41)*4,0)</f>
        <v>0</v>
      </c>
      <c r="D54" s="12">
        <f>ROUND(((D66*D$5*L$1*D$12)*D41)*4,0)</f>
        <v>0</v>
      </c>
      <c r="E54" s="12">
        <f>ROUND(((E66*E$5*E$12)*E41)*4,0)</f>
        <v>0</v>
      </c>
    </row>
    <row r="56" spans="2:5" x14ac:dyDescent="0.25">
      <c r="B56" s="3" t="s">
        <v>76</v>
      </c>
    </row>
    <row r="57" spans="2:5" x14ac:dyDescent="0.25">
      <c r="B57" t="s">
        <v>72</v>
      </c>
      <c r="C57" s="12">
        <f t="shared" ref="C57:E60" si="3">ROUND(C$61*C8,0)</f>
        <v>0</v>
      </c>
      <c r="D57" s="12">
        <f t="shared" si="3"/>
        <v>0</v>
      </c>
      <c r="E57" s="12">
        <f t="shared" si="3"/>
        <v>0</v>
      </c>
    </row>
    <row r="58" spans="2:5" x14ac:dyDescent="0.25">
      <c r="B58" t="s">
        <v>73</v>
      </c>
      <c r="C58" s="12">
        <f t="shared" si="3"/>
        <v>0</v>
      </c>
      <c r="D58" s="12">
        <f t="shared" si="3"/>
        <v>0</v>
      </c>
      <c r="E58" s="12">
        <f t="shared" si="3"/>
        <v>0</v>
      </c>
    </row>
    <row r="59" spans="2:5" x14ac:dyDescent="0.25">
      <c r="B59" t="s">
        <v>74</v>
      </c>
      <c r="C59" s="12">
        <f t="shared" si="3"/>
        <v>0</v>
      </c>
      <c r="D59" s="12">
        <f t="shared" si="3"/>
        <v>0</v>
      </c>
      <c r="E59" s="12">
        <f t="shared" si="3"/>
        <v>0</v>
      </c>
    </row>
    <row r="60" spans="2:5" x14ac:dyDescent="0.25">
      <c r="B60" t="s">
        <v>75</v>
      </c>
      <c r="C60" s="12">
        <f t="shared" si="3"/>
        <v>0</v>
      </c>
      <c r="D60" s="12">
        <f t="shared" si="3"/>
        <v>0</v>
      </c>
      <c r="E60" s="12">
        <f t="shared" si="3"/>
        <v>0</v>
      </c>
    </row>
    <row r="61" spans="2:5" x14ac:dyDescent="0.25">
      <c r="B61" t="s">
        <v>71</v>
      </c>
      <c r="C61">
        <f>C3*C4*12</f>
        <v>1.2E-5</v>
      </c>
      <c r="D61">
        <f>D3*D4*12</f>
        <v>1.2E-5</v>
      </c>
      <c r="E61">
        <f>E3*E4*12</f>
        <v>1.2E-5</v>
      </c>
    </row>
    <row r="62" spans="2:5" x14ac:dyDescent="0.25">
      <c r="B62" s="7" t="s">
        <v>77</v>
      </c>
    </row>
    <row r="63" spans="2:5" x14ac:dyDescent="0.25">
      <c r="B63" t="s">
        <v>72</v>
      </c>
      <c r="C63" s="12">
        <f t="shared" ref="C63:E65" si="4">(C57*C26)/60</f>
        <v>0</v>
      </c>
      <c r="D63" s="12">
        <f t="shared" si="4"/>
        <v>0</v>
      </c>
      <c r="E63" s="12">
        <f t="shared" si="4"/>
        <v>0</v>
      </c>
    </row>
    <row r="64" spans="2:5" x14ac:dyDescent="0.25">
      <c r="B64" t="s">
        <v>73</v>
      </c>
      <c r="C64" s="12">
        <f t="shared" si="4"/>
        <v>0</v>
      </c>
      <c r="D64" s="12">
        <f t="shared" si="4"/>
        <v>0</v>
      </c>
      <c r="E64" s="12">
        <f t="shared" si="4"/>
        <v>0</v>
      </c>
    </row>
    <row r="65" spans="2:5" x14ac:dyDescent="0.25">
      <c r="B65" t="s">
        <v>74</v>
      </c>
      <c r="C65" s="12">
        <f t="shared" si="4"/>
        <v>0</v>
      </c>
      <c r="D65" s="12">
        <f t="shared" si="4"/>
        <v>0</v>
      </c>
      <c r="E65" s="12">
        <f t="shared" si="4"/>
        <v>0</v>
      </c>
    </row>
    <row r="66" spans="2:5" x14ac:dyDescent="0.25">
      <c r="B66" t="s">
        <v>75</v>
      </c>
      <c r="C66" s="12">
        <f>((C60*C29)/60)</f>
        <v>0</v>
      </c>
      <c r="D66" s="12">
        <f>((D60*D29)/60)</f>
        <v>0</v>
      </c>
      <c r="E66" s="12">
        <f>((E60*E29)/60)</f>
        <v>0</v>
      </c>
    </row>
    <row r="67" spans="2:5" x14ac:dyDescent="0.25">
      <c r="B67" t="s">
        <v>78</v>
      </c>
      <c r="C67" s="13">
        <f>SUM(C63:C66)</f>
        <v>0</v>
      </c>
      <c r="D67" s="13">
        <f>SUM(D63:D66)</f>
        <v>0</v>
      </c>
      <c r="E67" s="13">
        <f>SUM(E63:E66)</f>
        <v>0</v>
      </c>
    </row>
  </sheetData>
  <mergeCells count="5">
    <mergeCell ref="H2:I2"/>
    <mergeCell ref="K2:L2"/>
    <mergeCell ref="N2:O2"/>
    <mergeCell ref="Q2:R2"/>
    <mergeCell ref="B43:E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45B9-7548-4F63-AE68-F682759EB339}">
  <dimension ref="A1:R67"/>
  <sheetViews>
    <sheetView tabSelected="1" zoomScaleNormal="100" workbookViewId="0">
      <selection activeCell="D34" sqref="D34"/>
    </sheetView>
  </sheetViews>
  <sheetFormatPr defaultRowHeight="15" x14ac:dyDescent="0.25"/>
  <cols>
    <col min="1" max="1" width="3.42578125" customWidth="1"/>
    <col min="2" max="2" width="39.28515625" customWidth="1"/>
    <col min="7" max="7" width="22.140625" customWidth="1"/>
    <col min="8" max="9" width="9.5703125" customWidth="1"/>
    <col min="10" max="10" width="3.28515625" customWidth="1"/>
    <col min="13" max="13" width="4" customWidth="1"/>
    <col min="16" max="16" width="6.42578125" customWidth="1"/>
    <col min="21" max="21" width="11" bestFit="1" customWidth="1"/>
  </cols>
  <sheetData>
    <row r="1" spans="1:18" x14ac:dyDescent="0.25">
      <c r="A1" s="7" t="s">
        <v>206</v>
      </c>
      <c r="C1" s="55" t="s">
        <v>176</v>
      </c>
      <c r="D1" s="55" t="s">
        <v>177</v>
      </c>
      <c r="E1" s="3" t="s">
        <v>42</v>
      </c>
      <c r="I1">
        <v>0.5</v>
      </c>
      <c r="L1">
        <v>0.5</v>
      </c>
    </row>
    <row r="2" spans="1:18" x14ac:dyDescent="0.25">
      <c r="H2" s="80" t="s">
        <v>180</v>
      </c>
      <c r="I2" s="80"/>
      <c r="K2" s="83" t="s">
        <v>181</v>
      </c>
      <c r="L2" s="80"/>
      <c r="N2" s="83" t="s">
        <v>90</v>
      </c>
      <c r="O2" s="80"/>
      <c r="Q2" s="83" t="s">
        <v>42</v>
      </c>
      <c r="R2" s="80"/>
    </row>
    <row r="3" spans="1:18" x14ac:dyDescent="0.25">
      <c r="B3" t="s">
        <v>0</v>
      </c>
      <c r="C3" s="52">
        <v>1E-3</v>
      </c>
      <c r="D3" s="52">
        <v>1E-3</v>
      </c>
      <c r="E3" s="52">
        <v>1E-3</v>
      </c>
      <c r="H3" s="3" t="s">
        <v>12</v>
      </c>
      <c r="I3" s="3" t="s">
        <v>13</v>
      </c>
      <c r="K3" s="3" t="s">
        <v>12</v>
      </c>
      <c r="L3" s="3" t="s">
        <v>13</v>
      </c>
      <c r="Q3" s="3" t="s">
        <v>12</v>
      </c>
      <c r="R3" s="3" t="s">
        <v>13</v>
      </c>
    </row>
    <row r="4" spans="1:18" x14ac:dyDescent="0.25">
      <c r="B4" t="s">
        <v>134</v>
      </c>
      <c r="C4" s="31">
        <v>1E-3</v>
      </c>
      <c r="D4" s="31">
        <v>1E-3</v>
      </c>
      <c r="E4" s="31">
        <v>1E-3</v>
      </c>
      <c r="G4" t="s">
        <v>81</v>
      </c>
      <c r="H4">
        <f>C46</f>
        <v>0</v>
      </c>
      <c r="I4" s="8">
        <f>ROUND((H4*C21)*I1,0)</f>
        <v>0</v>
      </c>
      <c r="K4">
        <f>D46</f>
        <v>0</v>
      </c>
      <c r="L4" s="8">
        <f>ROUND((K4*D21)*L1,0)</f>
        <v>0</v>
      </c>
      <c r="N4">
        <f>O4/C21</f>
        <v>0</v>
      </c>
      <c r="O4" s="8">
        <f>L4+I4</f>
        <v>0</v>
      </c>
      <c r="Q4">
        <f>E46</f>
        <v>0</v>
      </c>
      <c r="R4" s="8">
        <f>ROUND(Q4*E21,0)</f>
        <v>0</v>
      </c>
    </row>
    <row r="5" spans="1:18" x14ac:dyDescent="0.25">
      <c r="B5" t="s">
        <v>84</v>
      </c>
      <c r="C5" s="33">
        <v>1</v>
      </c>
      <c r="D5" s="33">
        <v>1</v>
      </c>
      <c r="E5" s="33">
        <v>1</v>
      </c>
      <c r="G5" t="s">
        <v>14</v>
      </c>
      <c r="H5">
        <f>ROUND(H4/C17,2)</f>
        <v>0</v>
      </c>
      <c r="I5" s="8">
        <f>ROUND((H5*C22)*I1,0)</f>
        <v>0</v>
      </c>
      <c r="K5">
        <f>ROUND(K4/D17,2)</f>
        <v>0</v>
      </c>
      <c r="L5" s="8">
        <f>ROUND((K5*D22)*L1,0)</f>
        <v>0</v>
      </c>
      <c r="N5">
        <f>O5/C22</f>
        <v>0</v>
      </c>
      <c r="O5" s="8">
        <f t="shared" ref="O5:O9" si="0">L5+I5</f>
        <v>0</v>
      </c>
      <c r="Q5">
        <f>ROUND(Q4/E17,2)</f>
        <v>0</v>
      </c>
      <c r="R5" s="8">
        <f>ROUND(Q5*E22,0)</f>
        <v>0</v>
      </c>
    </row>
    <row r="6" spans="1:18" x14ac:dyDescent="0.25">
      <c r="A6" s="43"/>
      <c r="B6" s="43"/>
      <c r="G6" t="s">
        <v>17</v>
      </c>
      <c r="H6">
        <f>C18</f>
        <v>0</v>
      </c>
      <c r="I6" s="8">
        <f>ROUND((H6*C23)*I1,0)</f>
        <v>0</v>
      </c>
      <c r="K6">
        <f>D18</f>
        <v>0</v>
      </c>
      <c r="L6" s="8">
        <f>ROUND(K6*D23*L1,0)</f>
        <v>0</v>
      </c>
      <c r="N6">
        <f>O6/C23</f>
        <v>0</v>
      </c>
      <c r="O6" s="8">
        <f t="shared" si="0"/>
        <v>0</v>
      </c>
      <c r="Q6">
        <f>E18</f>
        <v>0</v>
      </c>
      <c r="R6" s="8">
        <f>ROUND(Q6*E23,0)</f>
        <v>0</v>
      </c>
    </row>
    <row r="7" spans="1:18" x14ac:dyDescent="0.25">
      <c r="A7" s="42"/>
      <c r="B7" s="42" t="s">
        <v>141</v>
      </c>
      <c r="G7" t="s">
        <v>15</v>
      </c>
      <c r="I7" s="8">
        <f>ROUND(SUM(I4:I6)*C19,0)</f>
        <v>0</v>
      </c>
      <c r="L7" s="8">
        <f>ROUND(SUM(L4:L6)*D19,0)</f>
        <v>0</v>
      </c>
      <c r="O7" s="8">
        <f t="shared" si="0"/>
        <v>0</v>
      </c>
      <c r="R7" s="8">
        <f>ROUND(SUM(R4:R6)*E19,0)</f>
        <v>0</v>
      </c>
    </row>
    <row r="8" spans="1:18" x14ac:dyDescent="0.25">
      <c r="B8" t="s">
        <v>182</v>
      </c>
      <c r="C8" s="51"/>
      <c r="D8" s="51"/>
      <c r="E8" s="51"/>
      <c r="G8" t="s">
        <v>19</v>
      </c>
      <c r="I8" s="8">
        <f>SUM(H4:H6)*C20</f>
        <v>0</v>
      </c>
      <c r="L8" s="8">
        <f>SUM(K4:K6)*D20</f>
        <v>0</v>
      </c>
      <c r="O8" s="8">
        <f t="shared" si="0"/>
        <v>0</v>
      </c>
      <c r="R8" s="8">
        <f>SUM(Q4:Q6)*E20</f>
        <v>0</v>
      </c>
    </row>
    <row r="9" spans="1:18" x14ac:dyDescent="0.25">
      <c r="B9" t="s">
        <v>47</v>
      </c>
      <c r="C9" s="51"/>
      <c r="D9" s="51"/>
      <c r="E9" s="51"/>
      <c r="G9" t="s">
        <v>20</v>
      </c>
      <c r="I9" s="8">
        <f>ROUND(SUM(I4:I8)*C24,0)</f>
        <v>0</v>
      </c>
      <c r="L9" s="8">
        <f>ROUND(SUM(L4:L8)*D24,0)</f>
        <v>0</v>
      </c>
      <c r="O9" s="8">
        <f t="shared" si="0"/>
        <v>0</v>
      </c>
      <c r="R9" s="8">
        <f>ROUND(SUM(R4:R8)*E24,0)</f>
        <v>0</v>
      </c>
    </row>
    <row r="10" spans="1:18" ht="15.75" thickBot="1" x14ac:dyDescent="0.3">
      <c r="B10" t="s">
        <v>36</v>
      </c>
      <c r="C10" s="15">
        <v>1E-3</v>
      </c>
      <c r="D10" s="15">
        <v>1E-3</v>
      </c>
      <c r="E10" s="15">
        <v>1E-3</v>
      </c>
      <c r="G10" s="2" t="s">
        <v>22</v>
      </c>
      <c r="I10" s="11">
        <f>SUM(I4:I9)</f>
        <v>0</v>
      </c>
      <c r="L10" s="11">
        <f>SUM(L4:L9)</f>
        <v>0</v>
      </c>
      <c r="O10" s="11">
        <f>SUM(O4:O9)</f>
        <v>0</v>
      </c>
      <c r="R10" s="11">
        <f>SUM(R4:R9)</f>
        <v>0</v>
      </c>
    </row>
    <row r="11" spans="1:18" ht="15.75" thickTop="1" x14ac:dyDescent="0.25">
      <c r="A11" s="36"/>
      <c r="B11" s="66" t="s">
        <v>136</v>
      </c>
      <c r="C11" s="47">
        <f>1-C8-C9-C10</f>
        <v>0.999</v>
      </c>
      <c r="D11" s="47">
        <f>1-D8-D9-D10</f>
        <v>0.999</v>
      </c>
      <c r="E11" s="47">
        <f>1-E8-E9-E10</f>
        <v>0.999</v>
      </c>
    </row>
    <row r="12" spans="1:18" x14ac:dyDescent="0.25">
      <c r="B12" t="s">
        <v>4</v>
      </c>
      <c r="C12" s="15">
        <v>1E-3</v>
      </c>
      <c r="D12" s="15">
        <v>1E-3</v>
      </c>
      <c r="E12" s="15">
        <v>1E-3</v>
      </c>
      <c r="G12" t="s">
        <v>186</v>
      </c>
      <c r="I12">
        <f>C67*I1</f>
        <v>0</v>
      </c>
      <c r="L12">
        <f>ROUND(D67*L1,0)</f>
        <v>0</v>
      </c>
      <c r="O12" s="8">
        <f t="shared" ref="O12" si="1">L12+I12</f>
        <v>0</v>
      </c>
      <c r="R12" s="8">
        <f>ROUND(E67,0)</f>
        <v>0</v>
      </c>
    </row>
    <row r="13" spans="1:18" x14ac:dyDescent="0.25">
      <c r="B13" t="s">
        <v>137</v>
      </c>
      <c r="C13" s="52">
        <v>1E-3</v>
      </c>
      <c r="D13" s="52">
        <v>1E-3</v>
      </c>
      <c r="E13" s="52">
        <v>1E-3</v>
      </c>
    </row>
    <row r="14" spans="1:18" x14ac:dyDescent="0.25">
      <c r="A14" s="48"/>
      <c r="B14" s="48" t="s">
        <v>142</v>
      </c>
      <c r="G14" t="s">
        <v>83</v>
      </c>
      <c r="I14">
        <f>IF(I12&gt;0,ROUND(I10/I12,2),0)</f>
        <v>0</v>
      </c>
      <c r="L14">
        <f>IF(L12&gt;0,ROUND(L10/L12,2),0)</f>
        <v>0</v>
      </c>
      <c r="O14">
        <f>IF(O12&gt;0,ROUND(O10/O12,2),0)</f>
        <v>0</v>
      </c>
      <c r="R14">
        <f>IF(R12&gt;0,ROUND(R10/R12,2),0)</f>
        <v>0</v>
      </c>
    </row>
    <row r="15" spans="1:18" x14ac:dyDescent="0.25">
      <c r="B15" t="s">
        <v>138</v>
      </c>
      <c r="C15" s="31">
        <v>1E-3</v>
      </c>
      <c r="D15" s="31">
        <v>1E-3</v>
      </c>
      <c r="E15" s="31">
        <v>1E-3</v>
      </c>
    </row>
    <row r="16" spans="1:18" x14ac:dyDescent="0.25">
      <c r="B16" s="67" t="s">
        <v>139</v>
      </c>
      <c r="C16" s="15">
        <v>1E-3</v>
      </c>
      <c r="D16" s="15">
        <v>1E-3</v>
      </c>
      <c r="E16" s="15">
        <v>1E-3</v>
      </c>
      <c r="G16" t="s">
        <v>87</v>
      </c>
      <c r="I16" s="8">
        <f>SUM(C49:C54)</f>
        <v>0</v>
      </c>
      <c r="J16" s="8"/>
      <c r="K16" s="8"/>
      <c r="L16" s="8">
        <f>SUM(D49:D54)</f>
        <v>0</v>
      </c>
      <c r="M16" s="8"/>
      <c r="N16" s="8"/>
      <c r="O16" s="8">
        <f t="shared" ref="O16:O17" si="2">L16+I16</f>
        <v>0</v>
      </c>
      <c r="P16" s="8"/>
      <c r="Q16" s="8"/>
      <c r="R16" s="8">
        <f>SUM(E49:E54)</f>
        <v>0</v>
      </c>
    </row>
    <row r="17" spans="1:18" x14ac:dyDescent="0.25">
      <c r="B17" t="s">
        <v>82</v>
      </c>
      <c r="C17" s="31">
        <v>1E-3</v>
      </c>
      <c r="D17" s="31">
        <v>1E-3</v>
      </c>
      <c r="E17" s="31">
        <v>1E-3</v>
      </c>
      <c r="G17" t="s">
        <v>88</v>
      </c>
      <c r="I17" s="16"/>
      <c r="J17" s="8"/>
      <c r="K17" s="8"/>
      <c r="L17" s="16"/>
      <c r="M17" s="8"/>
      <c r="N17" s="8"/>
      <c r="O17" s="54">
        <f t="shared" si="2"/>
        <v>0</v>
      </c>
      <c r="P17" s="8"/>
      <c r="Q17" s="8"/>
      <c r="R17" s="16"/>
    </row>
    <row r="18" spans="1:18" x14ac:dyDescent="0.25">
      <c r="B18" t="s">
        <v>175</v>
      </c>
      <c r="C18" s="15">
        <v>0</v>
      </c>
      <c r="D18" s="15">
        <v>0</v>
      </c>
      <c r="E18" s="15">
        <v>0</v>
      </c>
      <c r="G18" t="s">
        <v>89</v>
      </c>
      <c r="I18" s="17">
        <f>SUM(I16:I17)</f>
        <v>0</v>
      </c>
      <c r="L18" s="17">
        <f>SUM(L16:L17)</f>
        <v>0</v>
      </c>
      <c r="O18" s="17">
        <f>SUM(O16:O17)</f>
        <v>0</v>
      </c>
      <c r="R18" s="17">
        <f>SUM(R16:R17)</f>
        <v>0</v>
      </c>
    </row>
    <row r="19" spans="1:18" x14ac:dyDescent="0.25">
      <c r="B19" t="s">
        <v>5</v>
      </c>
      <c r="C19" s="15">
        <v>1E-3</v>
      </c>
      <c r="D19" s="15">
        <v>1E-3</v>
      </c>
      <c r="E19" s="15">
        <v>1E-3</v>
      </c>
    </row>
    <row r="20" spans="1:18" x14ac:dyDescent="0.25">
      <c r="B20" t="s">
        <v>145</v>
      </c>
      <c r="C20" s="16">
        <v>1E-3</v>
      </c>
      <c r="D20" s="16">
        <v>1E-3</v>
      </c>
      <c r="E20" s="16">
        <v>1E-3</v>
      </c>
      <c r="G20" t="s">
        <v>85</v>
      </c>
      <c r="I20">
        <f>IF(I18&gt;0,ROUND(I18/I12,2),0)</f>
        <v>0</v>
      </c>
      <c r="L20">
        <f>IF(L18&gt;0,ROUND(L18/L12,2),0)</f>
        <v>0</v>
      </c>
      <c r="O20">
        <f>IF(O18&gt;0,ROUND(O18/O12,2),0)</f>
        <v>0</v>
      </c>
      <c r="R20">
        <f>IF(R18&gt;0,ROUND(R18/R12,2),0)</f>
        <v>0</v>
      </c>
    </row>
    <row r="21" spans="1:18" x14ac:dyDescent="0.25">
      <c r="B21" t="s">
        <v>10</v>
      </c>
      <c r="C21" s="16">
        <v>1E-3</v>
      </c>
      <c r="D21" s="16">
        <v>1E-3</v>
      </c>
      <c r="E21" s="16">
        <v>1E-3</v>
      </c>
    </row>
    <row r="22" spans="1:18" x14ac:dyDescent="0.25">
      <c r="B22" t="s">
        <v>11</v>
      </c>
      <c r="C22" s="16">
        <v>1E-3</v>
      </c>
      <c r="D22" s="16">
        <v>1E-3</v>
      </c>
      <c r="E22" s="16">
        <v>1E-3</v>
      </c>
      <c r="G22" t="s">
        <v>86</v>
      </c>
      <c r="I22" s="65">
        <f>I16-I10</f>
        <v>0</v>
      </c>
      <c r="J22" s="65"/>
      <c r="K22" s="65"/>
      <c r="L22" s="65">
        <f>L16-L10</f>
        <v>0</v>
      </c>
      <c r="M22" s="65"/>
      <c r="N22" s="65"/>
      <c r="O22" s="65">
        <f>O16-O10</f>
        <v>0</v>
      </c>
      <c r="P22" s="65"/>
      <c r="Q22" s="65"/>
      <c r="R22" s="65">
        <f>R16-R10</f>
        <v>0</v>
      </c>
    </row>
    <row r="23" spans="1:18" x14ac:dyDescent="0.25">
      <c r="B23" t="s">
        <v>18</v>
      </c>
      <c r="C23" s="16">
        <v>1E-3</v>
      </c>
      <c r="D23" s="16">
        <v>1E-3</v>
      </c>
      <c r="E23" s="16">
        <v>1E-3</v>
      </c>
    </row>
    <row r="24" spans="1:18" x14ac:dyDescent="0.25">
      <c r="B24" t="s">
        <v>21</v>
      </c>
      <c r="C24" s="15">
        <v>1E-3</v>
      </c>
      <c r="D24" s="15">
        <v>1E-3</v>
      </c>
      <c r="E24" s="15">
        <v>1E-3</v>
      </c>
      <c r="K24" s="40"/>
    </row>
    <row r="25" spans="1:18" x14ac:dyDescent="0.25">
      <c r="A25" s="42"/>
      <c r="B25" s="42" t="s">
        <v>135</v>
      </c>
      <c r="G25" s="43"/>
      <c r="H25" s="40"/>
      <c r="I25" s="40"/>
      <c r="J25" s="40"/>
      <c r="K25" s="40"/>
    </row>
    <row r="26" spans="1:18" x14ac:dyDescent="0.25">
      <c r="B26" t="s">
        <v>72</v>
      </c>
      <c r="C26" s="51"/>
      <c r="D26" s="51"/>
      <c r="E26" s="51"/>
      <c r="G26" s="43"/>
      <c r="H26" s="40"/>
      <c r="I26" s="40"/>
      <c r="J26" s="40"/>
    </row>
    <row r="27" spans="1:18" x14ac:dyDescent="0.25">
      <c r="B27" t="s">
        <v>73</v>
      </c>
      <c r="C27" s="51"/>
      <c r="D27" s="51"/>
      <c r="E27" s="51"/>
      <c r="G27" s="43"/>
      <c r="K27" s="40"/>
    </row>
    <row r="28" spans="1:18" x14ac:dyDescent="0.25">
      <c r="B28" t="s">
        <v>74</v>
      </c>
      <c r="C28" s="52">
        <v>1E-3</v>
      </c>
      <c r="D28" s="52">
        <v>1E-3</v>
      </c>
      <c r="E28" s="52">
        <v>1E-3</v>
      </c>
      <c r="G28" s="43"/>
      <c r="I28" s="40"/>
      <c r="J28" s="40"/>
      <c r="K28" s="40"/>
    </row>
    <row r="29" spans="1:18" x14ac:dyDescent="0.25">
      <c r="B29" t="s">
        <v>75</v>
      </c>
      <c r="C29" s="52">
        <v>1E-3</v>
      </c>
      <c r="D29" s="52">
        <v>1E-3</v>
      </c>
      <c r="E29" s="52">
        <v>1E-3</v>
      </c>
      <c r="G29" s="43"/>
      <c r="I29" s="40"/>
      <c r="J29" s="40"/>
      <c r="K29" s="40"/>
    </row>
    <row r="30" spans="1:18" x14ac:dyDescent="0.25">
      <c r="A30" s="42"/>
      <c r="B30" s="68" t="s">
        <v>143</v>
      </c>
      <c r="C30" s="52">
        <v>1E-3</v>
      </c>
      <c r="D30" s="52">
        <v>1E-3</v>
      </c>
      <c r="E30" s="52">
        <v>1E-3</v>
      </c>
      <c r="K30" s="40"/>
    </row>
    <row r="32" spans="1:18" x14ac:dyDescent="0.25">
      <c r="A32" s="42"/>
      <c r="B32" s="42" t="s">
        <v>132</v>
      </c>
      <c r="C32" s="10" t="s">
        <v>254</v>
      </c>
      <c r="D32" s="85" t="s">
        <v>256</v>
      </c>
    </row>
    <row r="33" spans="2:5" hidden="1" x14ac:dyDescent="0.25">
      <c r="C33" s="14"/>
      <c r="D33" s="5"/>
      <c r="E33" s="5"/>
    </row>
    <row r="34" spans="2:5" x14ac:dyDescent="0.25">
      <c r="B34" t="s">
        <v>153</v>
      </c>
      <c r="C34" s="5">
        <v>16.29</v>
      </c>
      <c r="D34" s="5">
        <v>16.29</v>
      </c>
      <c r="E34" s="5">
        <v>16.29</v>
      </c>
    </row>
    <row r="35" spans="2:5" hidden="1" x14ac:dyDescent="0.25">
      <c r="B35" t="s">
        <v>28</v>
      </c>
      <c r="C35" s="5"/>
      <c r="D35" s="5"/>
      <c r="E35" s="5"/>
    </row>
    <row r="36" spans="2:5" hidden="1" x14ac:dyDescent="0.25">
      <c r="B36" t="s">
        <v>29</v>
      </c>
      <c r="C36" s="5"/>
      <c r="D36" s="5"/>
      <c r="E36" s="5"/>
    </row>
    <row r="37" spans="2:5" hidden="1" x14ac:dyDescent="0.25">
      <c r="B37" t="s">
        <v>30</v>
      </c>
      <c r="C37" s="5"/>
      <c r="D37" s="5"/>
      <c r="E37" s="5"/>
    </row>
    <row r="38" spans="2:5" x14ac:dyDescent="0.25">
      <c r="B38" t="s">
        <v>154</v>
      </c>
      <c r="C38" s="5">
        <v>7.87</v>
      </c>
      <c r="D38" s="5">
        <v>7.87</v>
      </c>
      <c r="E38" s="5">
        <v>7.87</v>
      </c>
    </row>
    <row r="39" spans="2:5" x14ac:dyDescent="0.25">
      <c r="B39" t="s">
        <v>155</v>
      </c>
      <c r="C39" s="5">
        <v>2.88</v>
      </c>
      <c r="D39" s="5">
        <v>2.88</v>
      </c>
      <c r="E39" s="5">
        <v>2.88</v>
      </c>
    </row>
    <row r="40" spans="2:5" hidden="1" x14ac:dyDescent="0.25">
      <c r="B40" t="s">
        <v>148</v>
      </c>
      <c r="C40" s="5">
        <v>2.64</v>
      </c>
      <c r="D40" s="5">
        <v>2.64</v>
      </c>
      <c r="E40" s="5">
        <v>2.64</v>
      </c>
    </row>
    <row r="41" spans="2:5" x14ac:dyDescent="0.25">
      <c r="B41" t="s">
        <v>156</v>
      </c>
      <c r="C41" s="5">
        <v>1.39</v>
      </c>
      <c r="D41" s="5">
        <v>1.39</v>
      </c>
      <c r="E41" s="5">
        <v>1.39</v>
      </c>
    </row>
    <row r="42" spans="2:5" s="50" customFormat="1" x14ac:dyDescent="0.25"/>
    <row r="43" spans="2:5" ht="15.75" x14ac:dyDescent="0.25">
      <c r="B43" s="84" t="s">
        <v>150</v>
      </c>
      <c r="C43" s="84"/>
      <c r="D43" s="84"/>
      <c r="E43" s="84"/>
    </row>
    <row r="44" spans="2:5" x14ac:dyDescent="0.25">
      <c r="B44" t="s">
        <v>79</v>
      </c>
      <c r="C44" s="12">
        <f>(C15*52)</f>
        <v>5.2000000000000005E-2</v>
      </c>
      <c r="D44" s="12">
        <f>(D15*52)</f>
        <v>5.2000000000000005E-2</v>
      </c>
      <c r="E44" s="12">
        <f>(E15*52)</f>
        <v>5.2000000000000005E-2</v>
      </c>
    </row>
    <row r="45" spans="2:5" x14ac:dyDescent="0.25">
      <c r="B45" t="s">
        <v>183</v>
      </c>
      <c r="C45" s="12">
        <f>C44*C16</f>
        <v>5.2000000000000004E-5</v>
      </c>
      <c r="D45" s="12">
        <f>D44*D16</f>
        <v>5.2000000000000004E-5</v>
      </c>
      <c r="E45" s="12">
        <f>E44*E16</f>
        <v>5.2000000000000004E-5</v>
      </c>
    </row>
    <row r="46" spans="2:5" x14ac:dyDescent="0.25">
      <c r="B46" t="s">
        <v>80</v>
      </c>
      <c r="C46" s="12">
        <f>ROUND(C67/C45,2)</f>
        <v>0</v>
      </c>
      <c r="D46" s="12">
        <f>ROUND(D67/D45,2)</f>
        <v>0</v>
      </c>
      <c r="E46" s="12">
        <f>ROUND(E67/E45,2)</f>
        <v>0</v>
      </c>
    </row>
    <row r="47" spans="2:5" x14ac:dyDescent="0.25">
      <c r="C47" s="1"/>
      <c r="D47" s="1"/>
      <c r="E47" s="1"/>
    </row>
    <row r="48" spans="2:5" x14ac:dyDescent="0.25">
      <c r="B48" s="7" t="s">
        <v>52</v>
      </c>
    </row>
    <row r="49" spans="2:5" x14ac:dyDescent="0.25">
      <c r="B49" t="s">
        <v>72</v>
      </c>
      <c r="C49" s="12">
        <f>ROUND(((C63*C5*I1)*C33)*4,0)</f>
        <v>0</v>
      </c>
      <c r="D49" s="12">
        <f>ROUND(((D63*D5*L1)*D33)*4,0)</f>
        <v>0</v>
      </c>
      <c r="E49" s="12">
        <f>ROUND(((E63*E5)*E33)*4,0)</f>
        <v>0</v>
      </c>
    </row>
    <row r="50" spans="2:5" x14ac:dyDescent="0.25">
      <c r="B50" t="s">
        <v>73</v>
      </c>
      <c r="C50" s="12">
        <f>ROUND(((C64*C10*I1)*C35)*4,0)</f>
        <v>0</v>
      </c>
      <c r="D50" s="12">
        <f>ROUND(((D64*D10*L1)*D35)*4,0)</f>
        <v>0</v>
      </c>
      <c r="E50" s="12">
        <f>ROUND(((E64*E10)*E35)*4,0)</f>
        <v>0</v>
      </c>
    </row>
    <row r="51" spans="2:5" x14ac:dyDescent="0.25">
      <c r="B51" t="s">
        <v>74</v>
      </c>
      <c r="C51" s="12">
        <f>ROUND(((C65*C5*I1)*C34)*4,0)</f>
        <v>0</v>
      </c>
      <c r="D51" s="12">
        <f>ROUND(((D65*D5*L1)*D34)*4,0)</f>
        <v>0</v>
      </c>
      <c r="E51" s="12">
        <f>ROUND(((E65*E5)*E34)*4,0)</f>
        <v>0</v>
      </c>
    </row>
    <row r="52" spans="2:5" x14ac:dyDescent="0.25">
      <c r="B52" t="s">
        <v>75</v>
      </c>
      <c r="C52" s="12">
        <f>ROUND((((C66*C30)*I1*C5)*C38)*4,0)</f>
        <v>0</v>
      </c>
      <c r="D52" s="12">
        <f>ROUND((((D66*D30)*L1*D5)*D38)*4,0)</f>
        <v>0</v>
      </c>
      <c r="E52" s="12">
        <f>ROUND((((E66*E30)*E5)*E38)*4,0)</f>
        <v>0</v>
      </c>
    </row>
    <row r="53" spans="2:5" x14ac:dyDescent="0.25">
      <c r="B53" t="s">
        <v>247</v>
      </c>
      <c r="C53" s="12">
        <f>ROUND(((C65*C$5*I$1*C$12)*C40)*4,0)</f>
        <v>0</v>
      </c>
      <c r="D53" s="12">
        <f>ROUND(((D65*D$5*L$1*D$12)*D40)*4,0)</f>
        <v>0</v>
      </c>
      <c r="E53" s="12">
        <f>ROUND(((E65*E$5*E$12)*E40)*4,0)</f>
        <v>0</v>
      </c>
    </row>
    <row r="54" spans="2:5" x14ac:dyDescent="0.25">
      <c r="B54" t="s">
        <v>248</v>
      </c>
      <c r="C54" s="12">
        <f>ROUND(((C66*C$5*I$1*C$12)*C41)*4,0)</f>
        <v>0</v>
      </c>
      <c r="D54" s="12">
        <f>ROUND(((D66*D$5*L$1*D$12)*D41)*4,0)</f>
        <v>0</v>
      </c>
      <c r="E54" s="12">
        <f>ROUND(((E66*E$5*E$12)*E41)*4,0)</f>
        <v>0</v>
      </c>
    </row>
    <row r="56" spans="2:5" x14ac:dyDescent="0.25">
      <c r="B56" s="3" t="s">
        <v>76</v>
      </c>
    </row>
    <row r="57" spans="2:5" x14ac:dyDescent="0.25">
      <c r="B57" t="s">
        <v>72</v>
      </c>
      <c r="C57" s="12">
        <f t="shared" ref="C57:E60" si="3">ROUND(C$61*C8,0)</f>
        <v>0</v>
      </c>
      <c r="D57" s="12">
        <f t="shared" si="3"/>
        <v>0</v>
      </c>
      <c r="E57" s="12">
        <f t="shared" si="3"/>
        <v>0</v>
      </c>
    </row>
    <row r="58" spans="2:5" x14ac:dyDescent="0.25">
      <c r="B58" t="s">
        <v>73</v>
      </c>
      <c r="C58" s="12">
        <f t="shared" si="3"/>
        <v>0</v>
      </c>
      <c r="D58" s="12">
        <f t="shared" si="3"/>
        <v>0</v>
      </c>
      <c r="E58" s="12">
        <f t="shared" si="3"/>
        <v>0</v>
      </c>
    </row>
    <row r="59" spans="2:5" x14ac:dyDescent="0.25">
      <c r="B59" t="s">
        <v>74</v>
      </c>
      <c r="C59" s="12">
        <f t="shared" si="3"/>
        <v>0</v>
      </c>
      <c r="D59" s="12">
        <f t="shared" si="3"/>
        <v>0</v>
      </c>
      <c r="E59" s="12">
        <f t="shared" si="3"/>
        <v>0</v>
      </c>
    </row>
    <row r="60" spans="2:5" x14ac:dyDescent="0.25">
      <c r="B60" t="s">
        <v>75</v>
      </c>
      <c r="C60" s="12">
        <f t="shared" si="3"/>
        <v>0</v>
      </c>
      <c r="D60" s="12">
        <f t="shared" si="3"/>
        <v>0</v>
      </c>
      <c r="E60" s="12">
        <f t="shared" si="3"/>
        <v>0</v>
      </c>
    </row>
    <row r="61" spans="2:5" x14ac:dyDescent="0.25">
      <c r="B61" t="s">
        <v>71</v>
      </c>
      <c r="C61">
        <f>C3*C4*12</f>
        <v>1.2E-5</v>
      </c>
      <c r="D61">
        <f>D3*D4*12</f>
        <v>1.2E-5</v>
      </c>
      <c r="E61">
        <f>E3*E4*12</f>
        <v>1.2E-5</v>
      </c>
    </row>
    <row r="62" spans="2:5" x14ac:dyDescent="0.25">
      <c r="B62" s="7" t="s">
        <v>77</v>
      </c>
    </row>
    <row r="63" spans="2:5" x14ac:dyDescent="0.25">
      <c r="B63" t="s">
        <v>72</v>
      </c>
      <c r="C63" s="12">
        <f t="shared" ref="C63:E65" si="4">(C57*C26)/60</f>
        <v>0</v>
      </c>
      <c r="D63" s="12">
        <f t="shared" si="4"/>
        <v>0</v>
      </c>
      <c r="E63" s="12">
        <f t="shared" si="4"/>
        <v>0</v>
      </c>
    </row>
    <row r="64" spans="2:5" x14ac:dyDescent="0.25">
      <c r="B64" t="s">
        <v>73</v>
      </c>
      <c r="C64" s="12">
        <f t="shared" si="4"/>
        <v>0</v>
      </c>
      <c r="D64" s="12">
        <f t="shared" si="4"/>
        <v>0</v>
      </c>
      <c r="E64" s="12">
        <f t="shared" si="4"/>
        <v>0</v>
      </c>
    </row>
    <row r="65" spans="2:5" x14ac:dyDescent="0.25">
      <c r="B65" t="s">
        <v>74</v>
      </c>
      <c r="C65" s="12">
        <f t="shared" si="4"/>
        <v>0</v>
      </c>
      <c r="D65" s="12">
        <f t="shared" si="4"/>
        <v>0</v>
      </c>
      <c r="E65" s="12">
        <f t="shared" si="4"/>
        <v>0</v>
      </c>
    </row>
    <row r="66" spans="2:5" x14ac:dyDescent="0.25">
      <c r="B66" t="s">
        <v>75</v>
      </c>
      <c r="C66" s="12">
        <f>((C60*C29)/60)</f>
        <v>0</v>
      </c>
      <c r="D66" s="12">
        <f>((D60*D29)/60)</f>
        <v>0</v>
      </c>
      <c r="E66" s="12">
        <f>((E60*E29)/60)</f>
        <v>0</v>
      </c>
    </row>
    <row r="67" spans="2:5" x14ac:dyDescent="0.25">
      <c r="B67" t="s">
        <v>78</v>
      </c>
      <c r="C67" s="13">
        <f>SUM(C63:C66)</f>
        <v>0</v>
      </c>
      <c r="D67" s="13">
        <f>SUM(D63:D66)</f>
        <v>0</v>
      </c>
      <c r="E67" s="13">
        <f>SUM(E63:E66)</f>
        <v>0</v>
      </c>
    </row>
  </sheetData>
  <mergeCells count="5">
    <mergeCell ref="H2:I2"/>
    <mergeCell ref="K2:L2"/>
    <mergeCell ref="N2:O2"/>
    <mergeCell ref="Q2:R2"/>
    <mergeCell ref="B43:E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C781-3397-4887-8ABD-E7072398A7D2}">
  <dimension ref="B2:H25"/>
  <sheetViews>
    <sheetView zoomScaleNormal="100" workbookViewId="0">
      <selection activeCell="K23" sqref="K23"/>
    </sheetView>
  </sheetViews>
  <sheetFormatPr defaultRowHeight="15" x14ac:dyDescent="0.25"/>
  <cols>
    <col min="2" max="2" width="23.5703125" customWidth="1"/>
  </cols>
  <sheetData>
    <row r="2" spans="2:8" x14ac:dyDescent="0.25">
      <c r="C2" s="62" t="s">
        <v>197</v>
      </c>
      <c r="D2" s="62" t="s">
        <v>198</v>
      </c>
      <c r="E2" s="62" t="s">
        <v>199</v>
      </c>
      <c r="F2" s="62" t="s">
        <v>200</v>
      </c>
      <c r="G2" s="62" t="s">
        <v>207</v>
      </c>
      <c r="H2" s="62" t="s">
        <v>201</v>
      </c>
    </row>
    <row r="3" spans="2:8" x14ac:dyDescent="0.25">
      <c r="B3" t="s">
        <v>81</v>
      </c>
      <c r="C3" s="8">
        <f>OLP!R4</f>
        <v>207900</v>
      </c>
      <c r="D3" s="8">
        <f>CPST!R4</f>
        <v>0</v>
      </c>
      <c r="E3" s="8">
        <f>PRS!R4</f>
        <v>0</v>
      </c>
      <c r="F3" s="8">
        <f>FPSS!R4</f>
        <v>0</v>
      </c>
      <c r="G3" s="8">
        <f>YPSS!R4</f>
        <v>0</v>
      </c>
      <c r="H3" s="8">
        <f>SUM(C3:G3)</f>
        <v>207900</v>
      </c>
    </row>
    <row r="4" spans="2:8" x14ac:dyDescent="0.25">
      <c r="B4" t="s">
        <v>14</v>
      </c>
      <c r="C4" s="8">
        <f>OLP!R5</f>
        <v>51480</v>
      </c>
      <c r="D4" s="8">
        <f>CPST!R5</f>
        <v>0</v>
      </c>
      <c r="E4" s="8">
        <f>PRS!R5</f>
        <v>0</v>
      </c>
      <c r="F4" s="8">
        <f>FPSS!R5</f>
        <v>0</v>
      </c>
      <c r="G4" s="8">
        <f>YPSS!R5</f>
        <v>0</v>
      </c>
      <c r="H4" s="8">
        <f t="shared" ref="H4:H8" si="0">SUM(C4:G4)</f>
        <v>51480</v>
      </c>
    </row>
    <row r="5" spans="2:8" x14ac:dyDescent="0.25">
      <c r="B5" t="s">
        <v>17</v>
      </c>
      <c r="C5" s="8">
        <f>OLP!R6</f>
        <v>66850</v>
      </c>
      <c r="D5" s="8">
        <f>CPST!R6</f>
        <v>0</v>
      </c>
      <c r="E5" s="8">
        <f>PRS!R6</f>
        <v>0</v>
      </c>
      <c r="F5" s="8">
        <f>FPSS!R6</f>
        <v>0</v>
      </c>
      <c r="G5" s="8">
        <f>YPSS!R6</f>
        <v>0</v>
      </c>
      <c r="H5" s="8">
        <f t="shared" si="0"/>
        <v>66850</v>
      </c>
    </row>
    <row r="6" spans="2:8" x14ac:dyDescent="0.25">
      <c r="B6" t="s">
        <v>15</v>
      </c>
      <c r="C6" s="8">
        <f>OLP!R7</f>
        <v>104394</v>
      </c>
      <c r="D6" s="8">
        <f>CPST!R7</f>
        <v>0</v>
      </c>
      <c r="E6" s="8">
        <f>PRS!R7</f>
        <v>0</v>
      </c>
      <c r="F6" s="8">
        <f>FPSS!R7</f>
        <v>0</v>
      </c>
      <c r="G6" s="8">
        <f>YPSS!R7</f>
        <v>0</v>
      </c>
      <c r="H6" s="8">
        <f t="shared" si="0"/>
        <v>104394</v>
      </c>
    </row>
    <row r="7" spans="2:8" x14ac:dyDescent="0.25">
      <c r="B7" t="s">
        <v>19</v>
      </c>
      <c r="C7" s="8">
        <f>OLP!R8</f>
        <v>96125</v>
      </c>
      <c r="D7" s="8">
        <f>CPST!R8</f>
        <v>0</v>
      </c>
      <c r="E7" s="8">
        <f>PRS!R8</f>
        <v>0</v>
      </c>
      <c r="F7" s="8">
        <f>FPSS!R8</f>
        <v>0</v>
      </c>
      <c r="G7" s="8">
        <f>YPSS!R8</f>
        <v>0</v>
      </c>
      <c r="H7" s="8">
        <f t="shared" si="0"/>
        <v>96125</v>
      </c>
    </row>
    <row r="8" spans="2:8" x14ac:dyDescent="0.25">
      <c r="B8" t="s">
        <v>20</v>
      </c>
      <c r="C8" s="8">
        <f>OLP!R9</f>
        <v>79012</v>
      </c>
      <c r="D8" s="8">
        <f>CPST!R9</f>
        <v>0</v>
      </c>
      <c r="E8" s="8">
        <f>PRS!R9</f>
        <v>0</v>
      </c>
      <c r="F8" s="8">
        <f>FPSS!R9</f>
        <v>0</v>
      </c>
      <c r="G8" s="8">
        <f>YPSS!R9</f>
        <v>0</v>
      </c>
      <c r="H8" s="8">
        <f t="shared" si="0"/>
        <v>79012</v>
      </c>
    </row>
    <row r="9" spans="2:8" ht="15.75" thickBot="1" x14ac:dyDescent="0.3">
      <c r="B9" s="2" t="s">
        <v>22</v>
      </c>
      <c r="C9" s="11">
        <f>OLP!R10</f>
        <v>605761</v>
      </c>
      <c r="D9" s="11">
        <f>CPST!R10</f>
        <v>0</v>
      </c>
      <c r="E9" s="11">
        <f>PRS!R10</f>
        <v>0</v>
      </c>
      <c r="F9" s="11">
        <f>FPSS!R10</f>
        <v>0</v>
      </c>
      <c r="G9" s="11">
        <f>YPSS!R10</f>
        <v>0</v>
      </c>
      <c r="H9" s="11">
        <f t="shared" ref="H9" si="1">SUM(C9:F9)</f>
        <v>605761</v>
      </c>
    </row>
    <row r="10" spans="2:8" ht="15.75" thickTop="1" x14ac:dyDescent="0.25"/>
    <row r="11" spans="2:8" x14ac:dyDescent="0.25">
      <c r="B11" t="s">
        <v>186</v>
      </c>
      <c r="C11" s="8">
        <f>OLP!R12</f>
        <v>3600</v>
      </c>
      <c r="D11" s="8">
        <f>CPST!R12</f>
        <v>0</v>
      </c>
      <c r="E11" s="8">
        <f>PRS!R12</f>
        <v>0</v>
      </c>
      <c r="F11" s="8">
        <f>FPSS!R12</f>
        <v>0</v>
      </c>
      <c r="G11" s="8">
        <f>YPSS!R12</f>
        <v>0</v>
      </c>
      <c r="H11" s="8">
        <f t="shared" ref="H11" si="2">SUM(C11:F11)</f>
        <v>3600</v>
      </c>
    </row>
    <row r="13" spans="2:8" x14ac:dyDescent="0.25">
      <c r="B13" t="s">
        <v>83</v>
      </c>
      <c r="C13" s="77">
        <f>OLP!R14</f>
        <v>168.27</v>
      </c>
      <c r="D13" s="77">
        <f>CPST!R14</f>
        <v>0</v>
      </c>
      <c r="E13" s="77">
        <f>PRS!R14</f>
        <v>0</v>
      </c>
      <c r="F13" s="77">
        <f>FPSS!R14</f>
        <v>0</v>
      </c>
      <c r="G13" s="77">
        <f>YPSS!R14</f>
        <v>0</v>
      </c>
      <c r="H13" s="77">
        <f>H9/H11</f>
        <v>168.26694444444445</v>
      </c>
    </row>
    <row r="15" spans="2:8" x14ac:dyDescent="0.25">
      <c r="B15" t="s">
        <v>87</v>
      </c>
      <c r="C15" s="8">
        <f>OLP!R16</f>
        <v>773255</v>
      </c>
      <c r="D15" s="8">
        <f>CPST!R16</f>
        <v>0</v>
      </c>
      <c r="E15" s="8">
        <f>PRS!R16</f>
        <v>0</v>
      </c>
      <c r="F15" s="8">
        <f>FPSS!R16</f>
        <v>0</v>
      </c>
      <c r="G15" s="8">
        <f>YPSS!R16</f>
        <v>0</v>
      </c>
      <c r="H15" s="8">
        <f t="shared" ref="H15" si="3">SUM(C15:F15)</f>
        <v>773255</v>
      </c>
    </row>
    <row r="16" spans="2:8" x14ac:dyDescent="0.25">
      <c r="B16" t="s">
        <v>131</v>
      </c>
      <c r="C16" s="8">
        <f>OLP!R17</f>
        <v>0</v>
      </c>
      <c r="D16" s="8">
        <f>CPST!R17</f>
        <v>0</v>
      </c>
      <c r="E16" s="8">
        <f>PRS!R17</f>
        <v>0</v>
      </c>
      <c r="F16" s="8">
        <f>FPSS!R17</f>
        <v>0</v>
      </c>
      <c r="G16" s="8">
        <f>YPSS!R17</f>
        <v>0</v>
      </c>
      <c r="H16" s="8">
        <f t="shared" ref="H16" si="4">SUM(C16:F16)</f>
        <v>0</v>
      </c>
    </row>
    <row r="17" spans="2:8" x14ac:dyDescent="0.25">
      <c r="B17" t="s">
        <v>89</v>
      </c>
      <c r="C17" s="17">
        <f>OLP!R18</f>
        <v>773255</v>
      </c>
      <c r="D17" s="17">
        <f>OLP!S18</f>
        <v>0</v>
      </c>
      <c r="E17" s="17">
        <f>OLP!T18</f>
        <v>0</v>
      </c>
      <c r="F17" s="17">
        <f>OLP!U18</f>
        <v>0</v>
      </c>
      <c r="G17" s="17">
        <f>YPSS!R18</f>
        <v>0</v>
      </c>
      <c r="H17" s="17">
        <f>H15+H16</f>
        <v>773255</v>
      </c>
    </row>
    <row r="19" spans="2:8" x14ac:dyDescent="0.25">
      <c r="B19" t="s">
        <v>85</v>
      </c>
      <c r="C19" s="9">
        <f>OLP!R20</f>
        <v>214.79</v>
      </c>
      <c r="D19" s="78">
        <f>CPST!R20</f>
        <v>0</v>
      </c>
      <c r="E19" s="78">
        <f>PRS!R20</f>
        <v>0</v>
      </c>
      <c r="F19" s="78">
        <f>FPSS!R20</f>
        <v>0</v>
      </c>
      <c r="G19" s="78">
        <f>YPSS!R20</f>
        <v>0</v>
      </c>
      <c r="H19" s="78">
        <f t="shared" ref="H19" si="5">H17/H11</f>
        <v>214.79305555555555</v>
      </c>
    </row>
    <row r="21" spans="2:8" x14ac:dyDescent="0.25">
      <c r="B21" t="s">
        <v>86</v>
      </c>
      <c r="C21" s="65">
        <f>OLP!R22</f>
        <v>167494</v>
      </c>
      <c r="D21" s="65">
        <f>CPST!R22</f>
        <v>0</v>
      </c>
      <c r="E21" s="65">
        <f>PRS!R22</f>
        <v>0</v>
      </c>
      <c r="F21" s="65">
        <f>FPSS!R22</f>
        <v>0</v>
      </c>
      <c r="G21" s="65">
        <f>YPSS!R22</f>
        <v>0</v>
      </c>
      <c r="H21" s="65">
        <f>H17-H9</f>
        <v>167494</v>
      </c>
    </row>
    <row r="23" spans="2:8" x14ac:dyDescent="0.25">
      <c r="B23" t="s">
        <v>202</v>
      </c>
      <c r="C23">
        <f>OLP!Q4</f>
        <v>4.95</v>
      </c>
      <c r="D23">
        <f>CPST!Q4</f>
        <v>0</v>
      </c>
      <c r="E23">
        <f>PRS!Q4</f>
        <v>0</v>
      </c>
      <c r="F23">
        <f>PRS!Q4</f>
        <v>0</v>
      </c>
      <c r="G23">
        <f>YPSS!Q4</f>
        <v>0</v>
      </c>
      <c r="H23">
        <f>SUM(C23:G23)</f>
        <v>4.95</v>
      </c>
    </row>
    <row r="24" spans="2:8" x14ac:dyDescent="0.25">
      <c r="B24" t="s">
        <v>203</v>
      </c>
      <c r="C24">
        <f>OLP!Q5</f>
        <v>0.99</v>
      </c>
      <c r="D24">
        <f>CPST!Q5</f>
        <v>0</v>
      </c>
      <c r="E24">
        <f>PRS!Q5</f>
        <v>0</v>
      </c>
      <c r="F24">
        <f>PRS!Q5</f>
        <v>0</v>
      </c>
      <c r="G24">
        <f>YPSS!Q5</f>
        <v>0</v>
      </c>
      <c r="H24">
        <f t="shared" ref="H24:H25" si="6">SUM(C24:G24)</f>
        <v>0.99</v>
      </c>
    </row>
    <row r="25" spans="2:8" x14ac:dyDescent="0.25">
      <c r="B25" t="s">
        <v>204</v>
      </c>
      <c r="C25">
        <f>OLP!Q6</f>
        <v>1.75</v>
      </c>
      <c r="D25">
        <f>CPST!Q6</f>
        <v>0</v>
      </c>
      <c r="E25">
        <f>PRS!Q6</f>
        <v>0</v>
      </c>
      <c r="F25">
        <f>PRS!Q6</f>
        <v>0</v>
      </c>
      <c r="G25">
        <f>YPSS!Q6</f>
        <v>0</v>
      </c>
      <c r="H25">
        <f t="shared" si="6"/>
        <v>1.75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9853B-59DB-4228-A72A-CFAAF8636698}">
  <dimension ref="A1:K87"/>
  <sheetViews>
    <sheetView workbookViewId="0">
      <selection activeCell="C33" sqref="C33:C35"/>
    </sheetView>
  </sheetViews>
  <sheetFormatPr defaultRowHeight="15" x14ac:dyDescent="0.25"/>
  <cols>
    <col min="1" max="1" width="6.7109375" customWidth="1"/>
    <col min="2" max="2" width="50.140625" customWidth="1"/>
    <col min="5" max="5" width="22.140625" customWidth="1"/>
    <col min="6" max="6" width="9" customWidth="1"/>
    <col min="7" max="7" width="13.5703125" customWidth="1"/>
    <col min="8" max="8" width="4" customWidth="1"/>
    <col min="10" max="10" width="11.5703125" bestFit="1" customWidth="1"/>
    <col min="11" max="11" width="11" bestFit="1" customWidth="1"/>
  </cols>
  <sheetData>
    <row r="1" spans="2:11" x14ac:dyDescent="0.25">
      <c r="B1" s="7" t="s">
        <v>184</v>
      </c>
      <c r="C1" s="3" t="s">
        <v>42</v>
      </c>
    </row>
    <row r="2" spans="2:11" x14ac:dyDescent="0.25">
      <c r="F2" s="80" t="s">
        <v>191</v>
      </c>
      <c r="G2" s="80"/>
      <c r="I2" s="80">
        <v>822</v>
      </c>
      <c r="J2" s="80"/>
    </row>
    <row r="3" spans="2:11" x14ac:dyDescent="0.25">
      <c r="B3" t="s">
        <v>0</v>
      </c>
      <c r="C3" s="52">
        <f>OLP!E3</f>
        <v>200</v>
      </c>
      <c r="F3" s="3" t="s">
        <v>12</v>
      </c>
      <c r="G3" s="3" t="s">
        <v>13</v>
      </c>
      <c r="I3" s="3" t="s">
        <v>12</v>
      </c>
      <c r="J3" s="3" t="s">
        <v>13</v>
      </c>
    </row>
    <row r="4" spans="2:11" x14ac:dyDescent="0.25">
      <c r="B4" t="s">
        <v>134</v>
      </c>
      <c r="C4" s="31">
        <f>OLP!E4</f>
        <v>2</v>
      </c>
      <c r="E4" t="s">
        <v>81</v>
      </c>
      <c r="F4">
        <f>OLP!Q4</f>
        <v>4.95</v>
      </c>
      <c r="G4" s="8">
        <f>OLP!R4</f>
        <v>207900</v>
      </c>
      <c r="I4">
        <f>C59</f>
        <v>4.95</v>
      </c>
      <c r="J4" s="8">
        <f>ROUND(I4*C21,0)</f>
        <v>207900</v>
      </c>
    </row>
    <row r="5" spans="2:11" x14ac:dyDescent="0.25">
      <c r="B5" t="s">
        <v>84</v>
      </c>
      <c r="C5" s="33">
        <f>OLP!E5</f>
        <v>1</v>
      </c>
      <c r="E5" t="s">
        <v>14</v>
      </c>
      <c r="F5">
        <f>OLP!Q5</f>
        <v>0.99</v>
      </c>
      <c r="G5" s="8">
        <f>OLP!R5</f>
        <v>51480</v>
      </c>
      <c r="I5">
        <f>ROUND(I4/C17,2)</f>
        <v>0.99</v>
      </c>
      <c r="J5" s="8">
        <f>ROUND(I5*C22,0)</f>
        <v>51480</v>
      </c>
    </row>
    <row r="6" spans="2:11" x14ac:dyDescent="0.25">
      <c r="B6" s="43" t="s">
        <v>140</v>
      </c>
      <c r="C6" s="47">
        <f t="shared" ref="C6" si="0">1-C5</f>
        <v>0</v>
      </c>
      <c r="E6" t="s">
        <v>17</v>
      </c>
      <c r="F6">
        <f>OLP!Q6</f>
        <v>1.75</v>
      </c>
      <c r="G6" s="8">
        <f>OLP!R6</f>
        <v>66850</v>
      </c>
      <c r="I6">
        <f>C18</f>
        <v>1.75</v>
      </c>
      <c r="J6" s="8">
        <f>ROUND(I6*C23,0)</f>
        <v>66850</v>
      </c>
    </row>
    <row r="7" spans="2:11" x14ac:dyDescent="0.25">
      <c r="B7" s="42" t="s">
        <v>141</v>
      </c>
      <c r="E7" t="s">
        <v>15</v>
      </c>
      <c r="G7" s="8">
        <f>OLP!R7</f>
        <v>104394</v>
      </c>
      <c r="J7" s="8">
        <f>ROUND(SUM(J4:J6)*C19,0)</f>
        <v>104394</v>
      </c>
    </row>
    <row r="8" spans="2:11" x14ac:dyDescent="0.25">
      <c r="B8" t="s">
        <v>182</v>
      </c>
      <c r="C8" s="15">
        <f>OLP!E8</f>
        <v>0.1</v>
      </c>
      <c r="E8" t="s">
        <v>19</v>
      </c>
      <c r="G8" s="8">
        <f>OLP!R8</f>
        <v>96125</v>
      </c>
      <c r="J8" s="8">
        <f>SUM(I4:I6)*C20</f>
        <v>96125</v>
      </c>
    </row>
    <row r="9" spans="2:11" x14ac:dyDescent="0.25">
      <c r="B9" t="s">
        <v>190</v>
      </c>
      <c r="C9" s="15">
        <f>OLP!E9</f>
        <v>0.02</v>
      </c>
      <c r="E9" t="s">
        <v>20</v>
      </c>
      <c r="G9" s="8">
        <f>OLP!R9</f>
        <v>79012</v>
      </c>
      <c r="J9" s="8">
        <f>ROUND(SUM(J4:J8)*C24,0)</f>
        <v>79012</v>
      </c>
    </row>
    <row r="10" spans="2:11" ht="15.75" thickBot="1" x14ac:dyDescent="0.3">
      <c r="B10" t="s">
        <v>36</v>
      </c>
      <c r="C10" s="15">
        <f>OLP!E10</f>
        <v>0.8</v>
      </c>
      <c r="E10" s="2" t="s">
        <v>22</v>
      </c>
      <c r="G10" s="11">
        <f>SUM(G4:G9)</f>
        <v>605761</v>
      </c>
      <c r="J10" s="11">
        <f>SUM(J4:J9)</f>
        <v>605761</v>
      </c>
    </row>
    <row r="11" spans="2:11" ht="15.75" thickTop="1" x14ac:dyDescent="0.25">
      <c r="B11" s="36" t="s">
        <v>136</v>
      </c>
      <c r="C11" s="47">
        <f>1-C8-C9-C10</f>
        <v>7.999999999999996E-2</v>
      </c>
    </row>
    <row r="12" spans="2:11" x14ac:dyDescent="0.25">
      <c r="B12" t="s">
        <v>4</v>
      </c>
      <c r="C12" s="15">
        <f>OLP!E12</f>
        <v>0.4</v>
      </c>
      <c r="E12" t="s">
        <v>186</v>
      </c>
      <c r="G12" s="8">
        <f>OLP!R12</f>
        <v>3600</v>
      </c>
      <c r="J12" s="8">
        <f>ROUND(C55,0)</f>
        <v>3600</v>
      </c>
    </row>
    <row r="13" spans="2:11" x14ac:dyDescent="0.25">
      <c r="B13" t="s">
        <v>185</v>
      </c>
      <c r="C13" s="52">
        <f>OLP!E13</f>
        <v>30</v>
      </c>
    </row>
    <row r="14" spans="2:11" x14ac:dyDescent="0.25">
      <c r="B14" s="48" t="s">
        <v>142</v>
      </c>
      <c r="E14" t="s">
        <v>83</v>
      </c>
      <c r="G14">
        <f>IF(G12&gt;0,ROUND(G10/G12,2),0)</f>
        <v>168.27</v>
      </c>
      <c r="J14">
        <f>IF(J12&gt;0,ROUND(J10/J12,2),0)</f>
        <v>168.27</v>
      </c>
    </row>
    <row r="15" spans="2:11" x14ac:dyDescent="0.25">
      <c r="B15" t="s">
        <v>138</v>
      </c>
      <c r="C15" s="31">
        <f>OLP!E15</f>
        <v>35</v>
      </c>
    </row>
    <row r="16" spans="2:11" x14ac:dyDescent="0.25">
      <c r="B16" t="s">
        <v>139</v>
      </c>
      <c r="C16" s="15">
        <f>OLP!E16</f>
        <v>0.4</v>
      </c>
      <c r="E16" t="s">
        <v>87</v>
      </c>
      <c r="F16" s="8"/>
      <c r="G16" s="8">
        <f>OLP!R16</f>
        <v>773255</v>
      </c>
      <c r="H16" s="53"/>
      <c r="I16" s="8"/>
      <c r="J16" s="8">
        <f>SUM(C62:C67)</f>
        <v>496291</v>
      </c>
      <c r="K16" s="25"/>
    </row>
    <row r="17" spans="2:11" x14ac:dyDescent="0.25">
      <c r="B17" t="s">
        <v>82</v>
      </c>
      <c r="C17" s="31">
        <f>OLP!E17</f>
        <v>5</v>
      </c>
      <c r="E17" t="s">
        <v>131</v>
      </c>
      <c r="F17" s="40"/>
      <c r="G17" s="44">
        <f>OLP!R17</f>
        <v>0</v>
      </c>
      <c r="H17" s="41"/>
      <c r="I17" s="40"/>
      <c r="J17" s="44">
        <f>G17</f>
        <v>0</v>
      </c>
      <c r="K17" s="41"/>
    </row>
    <row r="18" spans="2:11" x14ac:dyDescent="0.25">
      <c r="B18" t="s">
        <v>175</v>
      </c>
      <c r="C18" s="31">
        <f>OLP!E18</f>
        <v>1.75</v>
      </c>
      <c r="E18" t="s">
        <v>89</v>
      </c>
      <c r="G18" s="17">
        <f>SUM(G16:G17)</f>
        <v>773255</v>
      </c>
      <c r="H18" s="25"/>
      <c r="J18" s="17">
        <f>SUM(J16:J17)</f>
        <v>496291</v>
      </c>
      <c r="K18" s="25"/>
    </row>
    <row r="19" spans="2:11" x14ac:dyDescent="0.25">
      <c r="B19" t="s">
        <v>5</v>
      </c>
      <c r="C19" s="15">
        <f>OLP!E19</f>
        <v>0.32</v>
      </c>
    </row>
    <row r="20" spans="2:11" x14ac:dyDescent="0.25">
      <c r="B20" t="s">
        <v>145</v>
      </c>
      <c r="C20" s="16">
        <f>OLP!E20</f>
        <v>12500</v>
      </c>
      <c r="E20" t="s">
        <v>85</v>
      </c>
      <c r="G20">
        <f>IF(G18&gt;0,ROUND(G18/G12,2),0)</f>
        <v>214.79</v>
      </c>
      <c r="J20">
        <f>IF(J18&gt;0,ROUND(J18/J12,2),0)</f>
        <v>137.86000000000001</v>
      </c>
    </row>
    <row r="21" spans="2:11" x14ac:dyDescent="0.25">
      <c r="B21" t="s">
        <v>10</v>
      </c>
      <c r="C21" s="16">
        <f>OLP!E21</f>
        <v>42000</v>
      </c>
    </row>
    <row r="22" spans="2:11" x14ac:dyDescent="0.25">
      <c r="B22" t="s">
        <v>11</v>
      </c>
      <c r="C22" s="16">
        <f>OLP!E22</f>
        <v>52000</v>
      </c>
      <c r="E22" t="s">
        <v>86</v>
      </c>
      <c r="G22" s="65">
        <f>G18-G10</f>
        <v>167494</v>
      </c>
      <c r="H22" s="65"/>
      <c r="I22" s="65"/>
      <c r="J22" s="65">
        <f>J18-J10</f>
        <v>-109470</v>
      </c>
    </row>
    <row r="23" spans="2:11" x14ac:dyDescent="0.25">
      <c r="B23" t="s">
        <v>18</v>
      </c>
      <c r="C23" s="16">
        <f>OLP!E23</f>
        <v>38200</v>
      </c>
    </row>
    <row r="24" spans="2:11" x14ac:dyDescent="0.25">
      <c r="B24" t="s">
        <v>21</v>
      </c>
      <c r="C24" s="15">
        <f>OLP!E24</f>
        <v>0.15</v>
      </c>
      <c r="J24" s="58"/>
    </row>
    <row r="25" spans="2:11" x14ac:dyDescent="0.25">
      <c r="B25" s="42" t="s">
        <v>135</v>
      </c>
      <c r="E25" s="42" t="s">
        <v>129</v>
      </c>
      <c r="F25" s="40"/>
      <c r="G25" s="40"/>
      <c r="H25" s="40"/>
      <c r="I25" s="40"/>
      <c r="J25" s="59"/>
      <c r="K25" s="40"/>
    </row>
    <row r="26" spans="2:11" x14ac:dyDescent="0.25">
      <c r="B26" t="s">
        <v>72</v>
      </c>
      <c r="C26" s="16">
        <f>OLP!E26</f>
        <v>30</v>
      </c>
      <c r="E26" t="s">
        <v>72</v>
      </c>
      <c r="F26" s="40"/>
      <c r="G26" s="63">
        <f>OLP!E62</f>
        <v>55181</v>
      </c>
      <c r="H26" s="40"/>
      <c r="I26" s="40"/>
      <c r="J26" s="63">
        <f>C62</f>
        <v>64594</v>
      </c>
      <c r="K26" s="41"/>
    </row>
    <row r="27" spans="2:11" x14ac:dyDescent="0.25">
      <c r="B27" t="s">
        <v>73</v>
      </c>
      <c r="C27" s="16">
        <f>OLP!E27</f>
        <v>60</v>
      </c>
      <c r="E27" t="s">
        <v>73</v>
      </c>
      <c r="G27" s="63">
        <f>OLP!E63</f>
        <v>26554</v>
      </c>
      <c r="J27" s="63">
        <f t="shared" ref="J27:J31" si="1">C63</f>
        <v>0</v>
      </c>
    </row>
    <row r="28" spans="2:11" x14ac:dyDescent="0.25">
      <c r="B28" t="s">
        <v>74</v>
      </c>
      <c r="C28" s="16">
        <f>OLP!E28</f>
        <v>45</v>
      </c>
      <c r="E28" t="s">
        <v>74</v>
      </c>
      <c r="F28" s="40"/>
      <c r="G28" s="63">
        <f>OLP!E64</f>
        <v>506880</v>
      </c>
      <c r="H28" s="40"/>
      <c r="I28" s="40"/>
      <c r="J28" s="63">
        <f t="shared" si="1"/>
        <v>357754</v>
      </c>
    </row>
    <row r="29" spans="2:11" x14ac:dyDescent="0.25">
      <c r="B29" t="s">
        <v>75</v>
      </c>
      <c r="C29" s="16">
        <f>OLP!E29</f>
        <v>60</v>
      </c>
      <c r="E29" t="s">
        <v>75</v>
      </c>
      <c r="F29" s="40"/>
      <c r="G29" s="63">
        <f>OLP!E65</f>
        <v>130683</v>
      </c>
      <c r="H29" s="40"/>
      <c r="I29" s="40"/>
      <c r="J29" s="63">
        <f t="shared" si="1"/>
        <v>73943</v>
      </c>
    </row>
    <row r="30" spans="2:11" x14ac:dyDescent="0.25">
      <c r="B30" s="42" t="s">
        <v>143</v>
      </c>
      <c r="C30" s="16">
        <f>OLP!E30</f>
        <v>4</v>
      </c>
      <c r="E30" t="s">
        <v>192</v>
      </c>
      <c r="F30" s="40"/>
      <c r="G30" s="63">
        <f>OLP!E66</f>
        <v>50688</v>
      </c>
      <c r="H30" s="40"/>
      <c r="I30" s="40"/>
      <c r="J30" s="63">
        <f t="shared" si="1"/>
        <v>0</v>
      </c>
    </row>
    <row r="31" spans="2:11" x14ac:dyDescent="0.25">
      <c r="E31" t="s">
        <v>193</v>
      </c>
      <c r="G31" s="63">
        <f>OLP!E67</f>
        <v>3269</v>
      </c>
      <c r="J31" s="63">
        <f t="shared" si="1"/>
        <v>0</v>
      </c>
    </row>
    <row r="32" spans="2:11" ht="15.75" thickBot="1" x14ac:dyDescent="0.3">
      <c r="B32" s="42" t="s">
        <v>132</v>
      </c>
      <c r="C32" s="10"/>
      <c r="G32" s="64">
        <f>SUM(G26:G31)</f>
        <v>773255</v>
      </c>
      <c r="J32" s="64">
        <f>SUM(J26:J31)</f>
        <v>496291</v>
      </c>
    </row>
    <row r="33" spans="2:5" ht="15.75" thickTop="1" x14ac:dyDescent="0.25">
      <c r="B33" t="s">
        <v>26</v>
      </c>
      <c r="C33" s="69">
        <f>IF(AND(C26&gt;=15,C26&lt;30),42.08,IF(AND(C26&gt;=30,C26&lt;75),134.57,IF(C26&gt;=75,155.27,Error)))</f>
        <v>134.57</v>
      </c>
      <c r="E33" s="40"/>
    </row>
    <row r="34" spans="2:5" x14ac:dyDescent="0.25">
      <c r="B34" t="s">
        <v>37</v>
      </c>
      <c r="C34" s="69">
        <f>IF(AND(C28&gt;=15,C28&lt;25),42.08,IF(AND(C28&gt;=25,C28&lt;45),93.16,IF(C28&gt;=45,124.22,Error)))</f>
        <v>124.22</v>
      </c>
      <c r="E34" s="40"/>
    </row>
    <row r="35" spans="2:5" x14ac:dyDescent="0.25">
      <c r="B35" t="s">
        <v>28</v>
      </c>
      <c r="C35" s="69">
        <v>0</v>
      </c>
      <c r="E35" s="40"/>
    </row>
    <row r="36" spans="2:5" x14ac:dyDescent="0.25">
      <c r="B36" t="s">
        <v>29</v>
      </c>
      <c r="C36" s="14">
        <v>0</v>
      </c>
      <c r="E36" s="40"/>
    </row>
    <row r="37" spans="2:5" x14ac:dyDescent="0.25">
      <c r="B37" t="s">
        <v>30</v>
      </c>
      <c r="C37" s="14">
        <v>14.49</v>
      </c>
      <c r="E37" s="40"/>
    </row>
    <row r="38" spans="2:5" x14ac:dyDescent="0.25">
      <c r="B38" t="s">
        <v>32</v>
      </c>
      <c r="C38" s="14">
        <f>IF(C29&gt;=60,48.14,0)</f>
        <v>48.14</v>
      </c>
      <c r="E38" s="40"/>
    </row>
    <row r="39" spans="2:5" x14ac:dyDescent="0.25">
      <c r="B39" t="s">
        <v>33</v>
      </c>
      <c r="C39" s="14">
        <v>0</v>
      </c>
      <c r="E39" s="40"/>
    </row>
    <row r="40" spans="2:5" x14ac:dyDescent="0.25">
      <c r="B40" t="s">
        <v>34</v>
      </c>
      <c r="C40" s="14">
        <v>0</v>
      </c>
      <c r="E40" s="40"/>
    </row>
    <row r="41" spans="2:5" x14ac:dyDescent="0.25">
      <c r="B41" t="s">
        <v>35</v>
      </c>
      <c r="C41" s="14">
        <v>0</v>
      </c>
      <c r="E41" s="40"/>
    </row>
    <row r="42" spans="2:5" s="50" customFormat="1" x14ac:dyDescent="0.25"/>
    <row r="44" spans="2:5" x14ac:dyDescent="0.25">
      <c r="B44" s="42" t="s">
        <v>76</v>
      </c>
    </row>
    <row r="45" spans="2:5" x14ac:dyDescent="0.25">
      <c r="B45" t="s">
        <v>72</v>
      </c>
      <c r="C45" s="45">
        <f t="shared" ref="C45:C48" si="2">ROUND(C$49*C8,0)</f>
        <v>480</v>
      </c>
    </row>
    <row r="46" spans="2:5" x14ac:dyDescent="0.25">
      <c r="B46" t="s">
        <v>73</v>
      </c>
      <c r="C46" s="45">
        <f t="shared" si="2"/>
        <v>96</v>
      </c>
    </row>
    <row r="47" spans="2:5" x14ac:dyDescent="0.25">
      <c r="B47" t="s">
        <v>74</v>
      </c>
      <c r="C47" s="45">
        <f t="shared" si="2"/>
        <v>3840</v>
      </c>
    </row>
    <row r="48" spans="2:5" x14ac:dyDescent="0.25">
      <c r="B48" t="s">
        <v>75</v>
      </c>
      <c r="C48" s="45">
        <f t="shared" si="2"/>
        <v>384</v>
      </c>
    </row>
    <row r="49" spans="2:3" x14ac:dyDescent="0.25">
      <c r="B49" t="s">
        <v>71</v>
      </c>
      <c r="C49" s="12">
        <f>C3*C4*12</f>
        <v>4800</v>
      </c>
    </row>
    <row r="50" spans="2:3" x14ac:dyDescent="0.25">
      <c r="B50" s="46" t="s">
        <v>77</v>
      </c>
    </row>
    <row r="51" spans="2:3" x14ac:dyDescent="0.25">
      <c r="B51" t="s">
        <v>72</v>
      </c>
      <c r="C51" s="12">
        <f t="shared" ref="C51:C53" si="3">(C45*C26)/60</f>
        <v>240</v>
      </c>
    </row>
    <row r="52" spans="2:3" x14ac:dyDescent="0.25">
      <c r="B52" t="s">
        <v>73</v>
      </c>
      <c r="C52" s="12">
        <f t="shared" si="3"/>
        <v>96</v>
      </c>
    </row>
    <row r="53" spans="2:3" x14ac:dyDescent="0.25">
      <c r="B53" t="s">
        <v>74</v>
      </c>
      <c r="C53" s="12">
        <f t="shared" si="3"/>
        <v>2880</v>
      </c>
    </row>
    <row r="54" spans="2:3" x14ac:dyDescent="0.25">
      <c r="B54" t="s">
        <v>75</v>
      </c>
      <c r="C54" s="12">
        <f>((C48*C29)/60)</f>
        <v>384</v>
      </c>
    </row>
    <row r="55" spans="2:3" x14ac:dyDescent="0.25">
      <c r="B55" t="s">
        <v>78</v>
      </c>
      <c r="C55" s="13">
        <f>SUM(C51:C54)</f>
        <v>3600</v>
      </c>
    </row>
    <row r="57" spans="2:3" x14ac:dyDescent="0.25">
      <c r="B57" t="s">
        <v>144</v>
      </c>
      <c r="C57" s="12">
        <f>(C15*52)</f>
        <v>1820</v>
      </c>
    </row>
    <row r="58" spans="2:3" x14ac:dyDescent="0.25">
      <c r="B58" t="s">
        <v>183</v>
      </c>
      <c r="C58" s="12">
        <f>C57*C16</f>
        <v>728</v>
      </c>
    </row>
    <row r="59" spans="2:3" x14ac:dyDescent="0.25">
      <c r="B59" t="s">
        <v>80</v>
      </c>
      <c r="C59" s="12">
        <f>ROUND(C55/C58,2)</f>
        <v>4.95</v>
      </c>
    </row>
    <row r="61" spans="2:3" x14ac:dyDescent="0.25">
      <c r="B61" s="42" t="s">
        <v>129</v>
      </c>
    </row>
    <row r="62" spans="2:3" x14ac:dyDescent="0.25">
      <c r="B62" t="s">
        <v>72</v>
      </c>
      <c r="C62" s="49">
        <f>ROUND(((C$45*C$5)*C33),0)</f>
        <v>64594</v>
      </c>
    </row>
    <row r="63" spans="2:3" x14ac:dyDescent="0.25">
      <c r="B63" t="s">
        <v>73</v>
      </c>
      <c r="C63" s="49">
        <f>ROUND(((C$52*C$5)*C35)*4,0)</f>
        <v>0</v>
      </c>
    </row>
    <row r="64" spans="2:3" x14ac:dyDescent="0.25">
      <c r="B64" t="s">
        <v>74</v>
      </c>
      <c r="C64" s="49">
        <f>ROUND(((C$53*C$5)*C34),0)</f>
        <v>357754</v>
      </c>
    </row>
    <row r="65" spans="2:3" x14ac:dyDescent="0.25">
      <c r="B65" t="s">
        <v>75</v>
      </c>
      <c r="C65" s="49">
        <f>ROUND((((C$54*C$30)*C$5)*C38),0)</f>
        <v>73943</v>
      </c>
    </row>
    <row r="66" spans="2:3" x14ac:dyDescent="0.25">
      <c r="B66" t="s">
        <v>56</v>
      </c>
      <c r="C66" s="49">
        <f>ROUND((((((C$45+C$46+C$47)*C$12)*C$5))*(C$13/15))*C39,0)</f>
        <v>0</v>
      </c>
    </row>
    <row r="67" spans="2:3" x14ac:dyDescent="0.25">
      <c r="B67" t="s">
        <v>57</v>
      </c>
      <c r="C67" s="49">
        <f>ROUND(((((C$48*C$12)*C$5))*(C$13/15))*C41,0)</f>
        <v>0</v>
      </c>
    </row>
    <row r="69" spans="2:3" x14ac:dyDescent="0.25">
      <c r="B69" s="18" t="s">
        <v>130</v>
      </c>
    </row>
    <row r="70" spans="2:3" x14ac:dyDescent="0.25">
      <c r="B70" t="s">
        <v>72</v>
      </c>
      <c r="C70" s="12">
        <f>ROUND(((C$51*C$6)*C79)*4,0)</f>
        <v>0</v>
      </c>
    </row>
    <row r="71" spans="2:3" x14ac:dyDescent="0.25">
      <c r="B71" t="s">
        <v>73</v>
      </c>
      <c r="C71" s="12">
        <f>ROUND(((C$52*C$10)*C81)*4,0)</f>
        <v>0</v>
      </c>
    </row>
    <row r="72" spans="2:3" x14ac:dyDescent="0.25">
      <c r="B72" t="s">
        <v>74</v>
      </c>
      <c r="C72" s="12">
        <f>ROUND(((C$53*C$6)*C80)*4,0)</f>
        <v>0</v>
      </c>
    </row>
    <row r="73" spans="2:3" x14ac:dyDescent="0.25">
      <c r="B73" t="s">
        <v>75</v>
      </c>
      <c r="C73" s="12">
        <f>ROUND((((C$54*C$30)*C$6)*C84)*4,0)</f>
        <v>0</v>
      </c>
    </row>
    <row r="74" spans="2:3" x14ac:dyDescent="0.25">
      <c r="B74" t="s">
        <v>56</v>
      </c>
      <c r="C74" s="12">
        <f>ROUND((((((C$45+C$46+C$47)*C$12)*C$6))*(C$13/15))*C85,0)</f>
        <v>0</v>
      </c>
    </row>
    <row r="75" spans="2:3" x14ac:dyDescent="0.25">
      <c r="B75" t="s">
        <v>57</v>
      </c>
      <c r="C75" s="12">
        <f>ROUND(((((C$48*C$12)*C$6))*(C$13/15))*C87,0)</f>
        <v>0</v>
      </c>
    </row>
    <row r="78" spans="2:3" x14ac:dyDescent="0.25">
      <c r="B78" s="18" t="s">
        <v>133</v>
      </c>
      <c r="C78" s="38">
        <f>1-C5</f>
        <v>0</v>
      </c>
    </row>
    <row r="79" spans="2:3" x14ac:dyDescent="0.25">
      <c r="B79" t="s">
        <v>26</v>
      </c>
      <c r="C79" s="37">
        <f t="shared" ref="C79:C87" si="4">C33*$A$85</f>
        <v>0</v>
      </c>
    </row>
    <row r="80" spans="2:3" x14ac:dyDescent="0.25">
      <c r="B80" t="s">
        <v>37</v>
      </c>
      <c r="C80" s="37">
        <f t="shared" si="4"/>
        <v>0</v>
      </c>
    </row>
    <row r="81" spans="1:3" x14ac:dyDescent="0.25">
      <c r="B81" t="s">
        <v>28</v>
      </c>
      <c r="C81" s="37">
        <f t="shared" si="4"/>
        <v>0</v>
      </c>
    </row>
    <row r="82" spans="1:3" x14ac:dyDescent="0.25">
      <c r="B82" t="s">
        <v>29</v>
      </c>
      <c r="C82" s="37">
        <f t="shared" si="4"/>
        <v>0</v>
      </c>
    </row>
    <row r="83" spans="1:3" x14ac:dyDescent="0.25">
      <c r="B83" t="s">
        <v>30</v>
      </c>
      <c r="C83" s="37">
        <f t="shared" si="4"/>
        <v>0</v>
      </c>
    </row>
    <row r="84" spans="1:3" x14ac:dyDescent="0.25">
      <c r="B84" t="s">
        <v>32</v>
      </c>
      <c r="C84" s="37">
        <f t="shared" si="4"/>
        <v>0</v>
      </c>
    </row>
    <row r="85" spans="1:3" x14ac:dyDescent="0.25">
      <c r="A85" s="39"/>
      <c r="B85" t="s">
        <v>33</v>
      </c>
      <c r="C85" s="37">
        <f t="shared" si="4"/>
        <v>0</v>
      </c>
    </row>
    <row r="86" spans="1:3" x14ac:dyDescent="0.25">
      <c r="B86" t="s">
        <v>34</v>
      </c>
      <c r="C86" s="37">
        <f t="shared" si="4"/>
        <v>0</v>
      </c>
    </row>
    <row r="87" spans="1:3" x14ac:dyDescent="0.25">
      <c r="B87" t="s">
        <v>35</v>
      </c>
      <c r="C87" s="37">
        <f t="shared" si="4"/>
        <v>0</v>
      </c>
    </row>
  </sheetData>
  <mergeCells count="2">
    <mergeCell ref="I2:J2"/>
    <mergeCell ref="F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0937-1D01-4AC7-A48F-368180AB6010}">
  <dimension ref="A1:C33"/>
  <sheetViews>
    <sheetView zoomScaleNormal="100" workbookViewId="0">
      <selection sqref="A1:XFD1048576"/>
    </sheetView>
  </sheetViews>
  <sheetFormatPr defaultRowHeight="15" x14ac:dyDescent="0.25"/>
  <cols>
    <col min="1" max="1" width="9" customWidth="1"/>
    <col min="2" max="2" width="44.140625" customWidth="1"/>
    <col min="3" max="3" width="129.5703125" customWidth="1"/>
  </cols>
  <sheetData>
    <row r="1" spans="1:3" x14ac:dyDescent="0.25">
      <c r="A1" t="s">
        <v>214</v>
      </c>
      <c r="B1" s="5"/>
      <c r="C1" t="s">
        <v>215</v>
      </c>
    </row>
    <row r="3" spans="1:3" x14ac:dyDescent="0.25">
      <c r="A3" s="72" t="s">
        <v>249</v>
      </c>
      <c r="B3" s="73" t="s">
        <v>194</v>
      </c>
      <c r="C3" s="70" t="s">
        <v>195</v>
      </c>
    </row>
    <row r="4" spans="1:3" x14ac:dyDescent="0.25">
      <c r="A4" s="71" t="s">
        <v>208</v>
      </c>
      <c r="B4" s="74" t="s">
        <v>159</v>
      </c>
      <c r="C4" t="s">
        <v>162</v>
      </c>
    </row>
    <row r="5" spans="1:3" x14ac:dyDescent="0.25">
      <c r="A5" s="71" t="s">
        <v>209</v>
      </c>
      <c r="B5" s="74" t="s">
        <v>160</v>
      </c>
      <c r="C5" t="s">
        <v>188</v>
      </c>
    </row>
    <row r="6" spans="1:3" x14ac:dyDescent="0.25">
      <c r="A6" s="71" t="s">
        <v>210</v>
      </c>
      <c r="B6" t="s">
        <v>84</v>
      </c>
      <c r="C6" t="s">
        <v>196</v>
      </c>
    </row>
    <row r="7" spans="1:3" x14ac:dyDescent="0.25">
      <c r="A7" s="71"/>
    </row>
    <row r="8" spans="1:3" x14ac:dyDescent="0.25">
      <c r="A8" s="71"/>
      <c r="B8" s="75" t="s">
        <v>141</v>
      </c>
    </row>
    <row r="9" spans="1:3" x14ac:dyDescent="0.25">
      <c r="A9" s="71" t="s">
        <v>211</v>
      </c>
      <c r="B9" s="74" t="s">
        <v>189</v>
      </c>
      <c r="C9" t="s">
        <v>237</v>
      </c>
    </row>
    <row r="10" spans="1:3" x14ac:dyDescent="0.25">
      <c r="A10" s="71" t="s">
        <v>212</v>
      </c>
      <c r="B10" s="74" t="s">
        <v>250</v>
      </c>
      <c r="C10" t="s">
        <v>238</v>
      </c>
    </row>
    <row r="11" spans="1:3" x14ac:dyDescent="0.25">
      <c r="A11" s="71" t="s">
        <v>213</v>
      </c>
      <c r="B11" s="74" t="s">
        <v>36</v>
      </c>
      <c r="C11" t="s">
        <v>163</v>
      </c>
    </row>
    <row r="12" spans="1:3" x14ac:dyDescent="0.25">
      <c r="A12" s="71" t="s">
        <v>217</v>
      </c>
      <c r="B12" s="74" t="s">
        <v>216</v>
      </c>
      <c r="C12" t="s">
        <v>164</v>
      </c>
    </row>
    <row r="13" spans="1:3" x14ac:dyDescent="0.25">
      <c r="A13" s="71" t="s">
        <v>218</v>
      </c>
      <c r="B13" s="74" t="s">
        <v>161</v>
      </c>
      <c r="C13" t="s">
        <v>161</v>
      </c>
    </row>
    <row r="14" spans="1:3" x14ac:dyDescent="0.25">
      <c r="A14" s="71" t="s">
        <v>219</v>
      </c>
      <c r="B14" s="74" t="s">
        <v>4</v>
      </c>
      <c r="C14" t="s">
        <v>165</v>
      </c>
    </row>
    <row r="15" spans="1:3" x14ac:dyDescent="0.25">
      <c r="A15" s="71" t="s">
        <v>220</v>
      </c>
      <c r="B15" s="74" t="s">
        <v>137</v>
      </c>
      <c r="C15" t="s">
        <v>166</v>
      </c>
    </row>
    <row r="16" spans="1:3" x14ac:dyDescent="0.25">
      <c r="A16" s="71"/>
      <c r="B16" s="76" t="s">
        <v>142</v>
      </c>
    </row>
    <row r="17" spans="1:3" x14ac:dyDescent="0.25">
      <c r="A17" s="71" t="s">
        <v>221</v>
      </c>
      <c r="B17" s="74" t="s">
        <v>138</v>
      </c>
      <c r="C17" t="s">
        <v>167</v>
      </c>
    </row>
    <row r="18" spans="1:3" x14ac:dyDescent="0.25">
      <c r="A18" s="71" t="s">
        <v>222</v>
      </c>
      <c r="B18" s="74" t="s">
        <v>139</v>
      </c>
      <c r="C18" t="s">
        <v>239</v>
      </c>
    </row>
    <row r="19" spans="1:3" x14ac:dyDescent="0.25">
      <c r="A19" s="71" t="s">
        <v>223</v>
      </c>
      <c r="B19" s="74" t="s">
        <v>168</v>
      </c>
      <c r="C19" t="s">
        <v>240</v>
      </c>
    </row>
    <row r="20" spans="1:3" x14ac:dyDescent="0.25">
      <c r="A20" s="71" t="s">
        <v>224</v>
      </c>
      <c r="B20" s="74" t="s">
        <v>175</v>
      </c>
      <c r="C20" t="s">
        <v>241</v>
      </c>
    </row>
    <row r="21" spans="1:3" x14ac:dyDescent="0.25">
      <c r="A21" s="71" t="s">
        <v>225</v>
      </c>
      <c r="B21" s="74" t="s">
        <v>5</v>
      </c>
      <c r="C21" t="s">
        <v>169</v>
      </c>
    </row>
    <row r="22" spans="1:3" x14ac:dyDescent="0.25">
      <c r="A22" s="71" t="s">
        <v>226</v>
      </c>
      <c r="B22" s="74" t="s">
        <v>145</v>
      </c>
      <c r="C22" t="s">
        <v>245</v>
      </c>
    </row>
    <row r="23" spans="1:3" x14ac:dyDescent="0.25">
      <c r="A23" s="71" t="s">
        <v>227</v>
      </c>
      <c r="B23" s="74" t="s">
        <v>10</v>
      </c>
      <c r="C23" t="s">
        <v>242</v>
      </c>
    </row>
    <row r="24" spans="1:3" x14ac:dyDescent="0.25">
      <c r="A24" s="71" t="s">
        <v>228</v>
      </c>
      <c r="B24" s="74" t="s">
        <v>11</v>
      </c>
      <c r="C24" t="s">
        <v>243</v>
      </c>
    </row>
    <row r="25" spans="1:3" x14ac:dyDescent="0.25">
      <c r="A25" s="71" t="s">
        <v>229</v>
      </c>
      <c r="B25" s="74" t="s">
        <v>18</v>
      </c>
      <c r="C25" t="s">
        <v>244</v>
      </c>
    </row>
    <row r="26" spans="1:3" x14ac:dyDescent="0.25">
      <c r="A26" s="71" t="s">
        <v>230</v>
      </c>
      <c r="B26" s="74" t="s">
        <v>21</v>
      </c>
      <c r="C26" t="s">
        <v>170</v>
      </c>
    </row>
    <row r="27" spans="1:3" x14ac:dyDescent="0.25">
      <c r="A27" s="71"/>
      <c r="B27" s="75" t="s">
        <v>135</v>
      </c>
    </row>
    <row r="28" spans="1:3" x14ac:dyDescent="0.25">
      <c r="A28" s="71" t="s">
        <v>231</v>
      </c>
      <c r="B28" s="74" t="s">
        <v>251</v>
      </c>
      <c r="C28" t="s">
        <v>171</v>
      </c>
    </row>
    <row r="29" spans="1:3" x14ac:dyDescent="0.25">
      <c r="A29" s="71" t="s">
        <v>232</v>
      </c>
      <c r="B29" s="74" t="s">
        <v>252</v>
      </c>
      <c r="C29" t="s">
        <v>172</v>
      </c>
    </row>
    <row r="30" spans="1:3" x14ac:dyDescent="0.25">
      <c r="A30" s="71" t="s">
        <v>233</v>
      </c>
      <c r="B30" s="74" t="s">
        <v>74</v>
      </c>
      <c r="C30" t="s">
        <v>173</v>
      </c>
    </row>
    <row r="31" spans="1:3" x14ac:dyDescent="0.25">
      <c r="A31" s="71" t="s">
        <v>234</v>
      </c>
      <c r="B31" s="79" t="s">
        <v>246</v>
      </c>
      <c r="C31" s="79" t="s">
        <v>174</v>
      </c>
    </row>
    <row r="32" spans="1:3" x14ac:dyDescent="0.25">
      <c r="A32" s="71"/>
      <c r="B32" s="42"/>
      <c r="C32" s="79"/>
    </row>
    <row r="33" spans="1:3" x14ac:dyDescent="0.25">
      <c r="A33" s="71" t="s">
        <v>235</v>
      </c>
      <c r="B33" t="s">
        <v>88</v>
      </c>
      <c r="C33" s="79" t="s">
        <v>236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OPL</vt:lpstr>
      <vt:lpstr>OLP</vt:lpstr>
      <vt:lpstr>CPST</vt:lpstr>
      <vt:lpstr>PRS</vt:lpstr>
      <vt:lpstr>FPSS</vt:lpstr>
      <vt:lpstr>YPSS</vt:lpstr>
      <vt:lpstr>Summary</vt:lpstr>
      <vt:lpstr>OLP vs 822</vt:lpstr>
      <vt:lpstr>Data elements</vt:lpstr>
      <vt:lpstr>simple</vt:lpstr>
      <vt:lpstr>OLP!Print_Titles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Wawrzynek</dc:creator>
  <cp:lastModifiedBy>David Wawrzynek</cp:lastModifiedBy>
  <cp:lastPrinted>2019-01-04T20:47:40Z</cp:lastPrinted>
  <dcterms:created xsi:type="dcterms:W3CDTF">2018-12-17T17:39:20Z</dcterms:created>
  <dcterms:modified xsi:type="dcterms:W3CDTF">2020-07-15T17:00:09Z</dcterms:modified>
</cp:coreProperties>
</file>